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11895"/>
  </bookViews>
  <sheets>
    <sheet name="mtkprice_2012-08-09" sheetId="1" r:id="rId1"/>
  </sheets>
  <calcPr calcId="125725" refMode="R1C1"/>
</workbook>
</file>

<file path=xl/calcChain.xml><?xml version="1.0" encoding="utf-8"?>
<calcChain xmlns="http://schemas.openxmlformats.org/spreadsheetml/2006/main">
  <c r="A2" i="1"/>
  <c r="B2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A198"/>
  <c r="B198"/>
  <c r="A199"/>
  <c r="B199"/>
  <c r="A200"/>
  <c r="B200"/>
  <c r="A201"/>
  <c r="B201"/>
  <c r="A202"/>
  <c r="B202"/>
  <c r="A203"/>
  <c r="B203"/>
  <c r="A204"/>
  <c r="B204"/>
  <c r="A205"/>
  <c r="B205"/>
  <c r="A206"/>
  <c r="B206"/>
  <c r="A207"/>
  <c r="B207"/>
  <c r="A208"/>
  <c r="B208"/>
  <c r="A209"/>
  <c r="B209"/>
  <c r="A210"/>
  <c r="B210"/>
  <c r="A211"/>
  <c r="B211"/>
  <c r="A212"/>
  <c r="B212"/>
  <c r="A213"/>
  <c r="B213"/>
  <c r="A214"/>
  <c r="B214"/>
  <c r="A215"/>
  <c r="B215"/>
  <c r="A216"/>
  <c r="B216"/>
  <c r="A217"/>
  <c r="B217"/>
  <c r="A218"/>
  <c r="B218"/>
  <c r="A219"/>
  <c r="B219"/>
  <c r="A220"/>
  <c r="B220"/>
  <c r="A221"/>
  <c r="B221"/>
  <c r="A222"/>
  <c r="B222"/>
  <c r="A223"/>
  <c r="B223"/>
  <c r="A224"/>
  <c r="B224"/>
  <c r="A225"/>
  <c r="B225"/>
  <c r="A226"/>
  <c r="B226"/>
  <c r="A227"/>
  <c r="B227"/>
  <c r="A228"/>
  <c r="B228"/>
  <c r="A229"/>
  <c r="B229"/>
  <c r="A230"/>
  <c r="B230"/>
  <c r="A231"/>
  <c r="B231"/>
  <c r="A232"/>
  <c r="B232"/>
  <c r="A233"/>
  <c r="B233"/>
  <c r="A234"/>
  <c r="B234"/>
  <c r="A235"/>
  <c r="B235"/>
  <c r="A236"/>
  <c r="B236"/>
  <c r="A237"/>
  <c r="B237"/>
  <c r="A238"/>
  <c r="B238"/>
  <c r="A239"/>
  <c r="B239"/>
  <c r="A240"/>
  <c r="B240"/>
  <c r="A241"/>
  <c r="B241"/>
  <c r="A242"/>
  <c r="B242"/>
  <c r="A243"/>
  <c r="B243"/>
  <c r="A244"/>
  <c r="B244"/>
  <c r="A245"/>
  <c r="B245"/>
  <c r="A246"/>
  <c r="B246"/>
  <c r="A247"/>
  <c r="B247"/>
  <c r="A248"/>
  <c r="B248"/>
  <c r="A249"/>
  <c r="B249"/>
  <c r="A250"/>
  <c r="B250"/>
  <c r="A251"/>
  <c r="B251"/>
  <c r="A252"/>
  <c r="B252"/>
  <c r="A253"/>
  <c r="B253"/>
  <c r="A254"/>
  <c r="B254"/>
  <c r="A255"/>
  <c r="B255"/>
  <c r="A256"/>
  <c r="B256"/>
  <c r="A257"/>
  <c r="B257"/>
  <c r="A258"/>
  <c r="B258"/>
  <c r="A259"/>
  <c r="B259"/>
  <c r="A260"/>
  <c r="B260"/>
  <c r="A261"/>
  <c r="B261"/>
  <c r="A262"/>
  <c r="B262"/>
  <c r="A263"/>
  <c r="B263"/>
  <c r="A264"/>
  <c r="B264"/>
  <c r="A265"/>
  <c r="B265"/>
  <c r="A266"/>
  <c r="B266"/>
  <c r="A267"/>
  <c r="B267"/>
  <c r="A268"/>
  <c r="B268"/>
  <c r="A269"/>
  <c r="B269"/>
  <c r="A270"/>
  <c r="B270"/>
  <c r="A271"/>
  <c r="B271"/>
  <c r="A272"/>
  <c r="B272"/>
  <c r="A273"/>
  <c r="B273"/>
  <c r="A274"/>
  <c r="B274"/>
  <c r="A275"/>
  <c r="B275"/>
  <c r="A276"/>
  <c r="B276"/>
  <c r="A277"/>
  <c r="B277"/>
  <c r="A278"/>
  <c r="B278"/>
  <c r="A279"/>
  <c r="B279"/>
  <c r="A280"/>
  <c r="B280"/>
  <c r="A281"/>
  <c r="B281"/>
  <c r="A282"/>
  <c r="B282"/>
  <c r="A283"/>
  <c r="B283"/>
  <c r="A284"/>
  <c r="B284"/>
  <c r="A285"/>
  <c r="B285"/>
  <c r="A286"/>
  <c r="B286"/>
  <c r="A287"/>
  <c r="B287"/>
  <c r="A288"/>
  <c r="B288"/>
  <c r="A289"/>
  <c r="B289"/>
  <c r="A290"/>
  <c r="B290"/>
  <c r="A291"/>
  <c r="B291"/>
  <c r="A292"/>
  <c r="B292"/>
  <c r="A293"/>
  <c r="B293"/>
  <c r="A294"/>
  <c r="B294"/>
  <c r="A295"/>
  <c r="B295"/>
  <c r="A296"/>
  <c r="B296"/>
  <c r="A297"/>
  <c r="B297"/>
  <c r="A298"/>
  <c r="B298"/>
  <c r="A299"/>
  <c r="B299"/>
  <c r="A300"/>
  <c r="B300"/>
  <c r="A301"/>
  <c r="B301"/>
  <c r="A302"/>
  <c r="B302"/>
  <c r="A303"/>
  <c r="B303"/>
  <c r="A304"/>
  <c r="B304"/>
  <c r="A305"/>
  <c r="B305"/>
  <c r="A306"/>
  <c r="B306"/>
  <c r="A307"/>
  <c r="B307"/>
  <c r="A308"/>
  <c r="B308"/>
  <c r="A309"/>
  <c r="B309"/>
  <c r="A310"/>
  <c r="B310"/>
  <c r="A311"/>
  <c r="B311"/>
  <c r="A312"/>
  <c r="B312"/>
  <c r="A313"/>
  <c r="B313"/>
  <c r="A314"/>
  <c r="B314"/>
  <c r="A315"/>
  <c r="B315"/>
  <c r="A316"/>
  <c r="B316"/>
  <c r="A317"/>
  <c r="B317"/>
  <c r="A318"/>
  <c r="B318"/>
  <c r="A319"/>
  <c r="B319"/>
  <c r="A320"/>
  <c r="B320"/>
  <c r="A321"/>
  <c r="B321"/>
  <c r="A322"/>
  <c r="B322"/>
  <c r="A323"/>
  <c r="B323"/>
  <c r="A324"/>
  <c r="B324"/>
  <c r="A325"/>
  <c r="B325"/>
  <c r="A326"/>
  <c r="B326"/>
  <c r="A327"/>
  <c r="B327"/>
  <c r="A328"/>
  <c r="B328"/>
  <c r="A329"/>
  <c r="B329"/>
  <c r="A330"/>
  <c r="B330"/>
  <c r="A331"/>
  <c r="B331"/>
  <c r="A332"/>
  <c r="B332"/>
  <c r="A333"/>
  <c r="B333"/>
  <c r="A334"/>
  <c r="B334"/>
  <c r="A335"/>
  <c r="B335"/>
  <c r="A336"/>
  <c r="B336"/>
  <c r="A337"/>
  <c r="B337"/>
  <c r="A338"/>
  <c r="B338"/>
  <c r="A339"/>
  <c r="B339"/>
  <c r="A340"/>
  <c r="B340"/>
  <c r="A341"/>
  <c r="B341"/>
  <c r="A342"/>
  <c r="B342"/>
  <c r="A343"/>
  <c r="B343"/>
  <c r="A344"/>
  <c r="B344"/>
  <c r="A345"/>
  <c r="B345"/>
  <c r="A346"/>
  <c r="B346"/>
  <c r="A347"/>
  <c r="B347"/>
  <c r="A348"/>
  <c r="B348"/>
  <c r="A349"/>
  <c r="B349"/>
  <c r="A350"/>
  <c r="B350"/>
  <c r="A351"/>
  <c r="B351"/>
  <c r="A352"/>
  <c r="B352"/>
  <c r="A353"/>
  <c r="B353"/>
  <c r="A354"/>
  <c r="B354"/>
  <c r="A355"/>
  <c r="B355"/>
  <c r="A356"/>
  <c r="B356"/>
  <c r="A357"/>
  <c r="B357"/>
  <c r="A358"/>
  <c r="B358"/>
  <c r="A359"/>
  <c r="B359"/>
  <c r="A360"/>
  <c r="B360"/>
  <c r="A361"/>
  <c r="B361"/>
  <c r="A362"/>
  <c r="B362"/>
  <c r="A363"/>
  <c r="B363"/>
  <c r="A364"/>
  <c r="B364"/>
  <c r="A365"/>
  <c r="B365"/>
  <c r="A366"/>
  <c r="B366"/>
  <c r="A367"/>
  <c r="B367"/>
  <c r="A368"/>
  <c r="B368"/>
  <c r="A369"/>
  <c r="B369"/>
  <c r="A370"/>
  <c r="B370"/>
  <c r="A371"/>
  <c r="B371"/>
  <c r="A372"/>
  <c r="B372"/>
  <c r="A373"/>
  <c r="B373"/>
  <c r="A374"/>
  <c r="B374"/>
  <c r="A375"/>
  <c r="B375"/>
  <c r="A376"/>
  <c r="B376"/>
  <c r="A377"/>
  <c r="B377"/>
  <c r="A378"/>
  <c r="B378"/>
  <c r="A379"/>
  <c r="B379"/>
  <c r="A380"/>
  <c r="B380"/>
  <c r="A381"/>
  <c r="B381"/>
  <c r="A382"/>
  <c r="B38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463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A501"/>
  <c r="B501"/>
  <c r="A502"/>
  <c r="B502"/>
  <c r="A503"/>
  <c r="B503"/>
  <c r="A504"/>
  <c r="B504"/>
  <c r="A505"/>
  <c r="B505"/>
  <c r="A506"/>
  <c r="B506"/>
  <c r="A507"/>
  <c r="B507"/>
  <c r="A508"/>
  <c r="B508"/>
  <c r="A509"/>
  <c r="B509"/>
  <c r="A510"/>
  <c r="B510"/>
  <c r="A511"/>
  <c r="B511"/>
  <c r="A512"/>
  <c r="B512"/>
  <c r="A513"/>
  <c r="B513"/>
  <c r="A514"/>
  <c r="B514"/>
  <c r="A515"/>
  <c r="B515"/>
  <c r="A516"/>
  <c r="B516"/>
  <c r="A517"/>
  <c r="B517"/>
  <c r="A518"/>
  <c r="B518"/>
  <c r="A519"/>
  <c r="B519"/>
  <c r="A520"/>
  <c r="B520"/>
  <c r="A521"/>
  <c r="B521"/>
  <c r="A522"/>
  <c r="B522"/>
  <c r="A523"/>
  <c r="B523"/>
  <c r="A524"/>
  <c r="B524"/>
  <c r="A525"/>
  <c r="B525"/>
  <c r="A526"/>
  <c r="B526"/>
  <c r="A527"/>
  <c r="B527"/>
  <c r="A528"/>
  <c r="B528"/>
  <c r="A529"/>
  <c r="B529"/>
  <c r="A530"/>
  <c r="B530"/>
  <c r="A531"/>
  <c r="B531"/>
  <c r="A532"/>
  <c r="B532"/>
  <c r="A533"/>
  <c r="B533"/>
  <c r="A534"/>
  <c r="B534"/>
  <c r="A535"/>
  <c r="B535"/>
  <c r="A536"/>
  <c r="B536"/>
  <c r="A537"/>
  <c r="B537"/>
  <c r="A538"/>
  <c r="B538"/>
  <c r="A539"/>
  <c r="B539"/>
  <c r="A540"/>
  <c r="B540"/>
  <c r="A541"/>
  <c r="B541"/>
  <c r="A542"/>
  <c r="B542"/>
  <c r="A543"/>
  <c r="B543"/>
  <c r="A544"/>
  <c r="B544"/>
  <c r="A545"/>
  <c r="B545"/>
  <c r="A546"/>
  <c r="B546"/>
  <c r="A547"/>
  <c r="B547"/>
  <c r="A548"/>
  <c r="B548"/>
  <c r="A549"/>
  <c r="B549"/>
  <c r="A550"/>
  <c r="B550"/>
  <c r="A551"/>
  <c r="B551"/>
  <c r="A552"/>
  <c r="B552"/>
  <c r="A553"/>
  <c r="B553"/>
  <c r="A554"/>
  <c r="B554"/>
  <c r="A555"/>
  <c r="B555"/>
  <c r="A556"/>
  <c r="B556"/>
  <c r="A557"/>
  <c r="B557"/>
  <c r="A558"/>
  <c r="B558"/>
  <c r="A559"/>
  <c r="B559"/>
  <c r="A560"/>
  <c r="B560"/>
  <c r="A561"/>
  <c r="B561"/>
  <c r="A562"/>
  <c r="B562"/>
  <c r="A563"/>
  <c r="B563"/>
  <c r="A564"/>
  <c r="B564"/>
  <c r="A565"/>
  <c r="B565"/>
  <c r="A566"/>
  <c r="B566"/>
  <c r="A567"/>
  <c r="B567"/>
  <c r="A568"/>
  <c r="B568"/>
  <c r="A569"/>
  <c r="B569"/>
  <c r="A570"/>
  <c r="B570"/>
  <c r="A571"/>
  <c r="B571"/>
  <c r="A572"/>
  <c r="B572"/>
  <c r="A573"/>
  <c r="B573"/>
  <c r="A574"/>
  <c r="B574"/>
  <c r="A575"/>
  <c r="B575"/>
  <c r="A576"/>
  <c r="B576"/>
  <c r="A577"/>
  <c r="B577"/>
  <c r="A578"/>
  <c r="B578"/>
  <c r="A579"/>
  <c r="B579"/>
  <c r="A580"/>
  <c r="B580"/>
  <c r="A581"/>
  <c r="B581"/>
  <c r="A582"/>
  <c r="B582"/>
  <c r="A583"/>
  <c r="B583"/>
  <c r="A584"/>
  <c r="B584"/>
  <c r="A585"/>
  <c r="B585"/>
  <c r="A586"/>
  <c r="B586"/>
  <c r="A587"/>
  <c r="B587"/>
  <c r="A588"/>
  <c r="B588"/>
  <c r="A589"/>
  <c r="B589"/>
  <c r="A590"/>
  <c r="B590"/>
  <c r="A591"/>
  <c r="B591"/>
  <c r="A592"/>
  <c r="B592"/>
  <c r="A593"/>
  <c r="B593"/>
  <c r="A594"/>
  <c r="B594"/>
  <c r="A595"/>
  <c r="B595"/>
  <c r="A596"/>
  <c r="B596"/>
  <c r="A597"/>
  <c r="B597"/>
  <c r="A598"/>
  <c r="B598"/>
  <c r="A599"/>
  <c r="B599"/>
  <c r="A600"/>
  <c r="B600"/>
  <c r="A601"/>
  <c r="B601"/>
  <c r="A602"/>
  <c r="B602"/>
  <c r="A603"/>
  <c r="B603"/>
  <c r="A604"/>
  <c r="B604"/>
  <c r="A605"/>
  <c r="B605"/>
  <c r="A606"/>
  <c r="B606"/>
  <c r="A607"/>
  <c r="B607"/>
  <c r="A608"/>
  <c r="B608"/>
  <c r="A609"/>
  <c r="B609"/>
  <c r="A610"/>
  <c r="B610"/>
  <c r="A611"/>
  <c r="B611"/>
  <c r="A612"/>
  <c r="B612"/>
  <c r="A613"/>
  <c r="B613"/>
  <c r="A614"/>
  <c r="B614"/>
  <c r="A615"/>
  <c r="B615"/>
  <c r="A616"/>
  <c r="B616"/>
  <c r="A617"/>
  <c r="B617"/>
  <c r="A618"/>
  <c r="B618"/>
  <c r="A619"/>
  <c r="B619"/>
  <c r="A620"/>
  <c r="B620"/>
  <c r="A621"/>
  <c r="B621"/>
  <c r="A622"/>
  <c r="B622"/>
  <c r="A623"/>
  <c r="B623"/>
  <c r="A624"/>
  <c r="B624"/>
  <c r="A625"/>
  <c r="B625"/>
  <c r="A626"/>
  <c r="B626"/>
  <c r="A627"/>
  <c r="B627"/>
  <c r="A628"/>
  <c r="B628"/>
  <c r="A629"/>
  <c r="B629"/>
  <c r="A630"/>
  <c r="B630"/>
  <c r="A631"/>
  <c r="B631"/>
  <c r="A632"/>
  <c r="B632"/>
  <c r="A633"/>
  <c r="B633"/>
  <c r="A634"/>
  <c r="B634"/>
  <c r="A635"/>
  <c r="B635"/>
  <c r="A636"/>
  <c r="B636"/>
  <c r="A637"/>
  <c r="B637"/>
  <c r="A638"/>
  <c r="B638"/>
  <c r="A639"/>
  <c r="B639"/>
  <c r="A640"/>
  <c r="B640"/>
  <c r="A641"/>
  <c r="B641"/>
  <c r="A642"/>
  <c r="B642"/>
  <c r="A643"/>
  <c r="B643"/>
  <c r="A644"/>
  <c r="B644"/>
  <c r="A645"/>
  <c r="B645"/>
  <c r="A646"/>
  <c r="B646"/>
  <c r="A647"/>
  <c r="B647"/>
  <c r="A648"/>
  <c r="B648"/>
  <c r="A649"/>
  <c r="B649"/>
  <c r="A650"/>
  <c r="B650"/>
  <c r="A651"/>
  <c r="B651"/>
  <c r="A652"/>
  <c r="B652"/>
  <c r="A653"/>
  <c r="B653"/>
  <c r="A654"/>
  <c r="B654"/>
  <c r="A655"/>
  <c r="B655"/>
  <c r="A656"/>
  <c r="B656"/>
  <c r="A657"/>
  <c r="B657"/>
  <c r="A658"/>
  <c r="B658"/>
  <c r="A659"/>
  <c r="B659"/>
  <c r="A660"/>
  <c r="B660"/>
  <c r="A661"/>
  <c r="B661"/>
  <c r="A662"/>
  <c r="B662"/>
  <c r="A663"/>
  <c r="B663"/>
  <c r="A664"/>
  <c r="B664"/>
  <c r="A665"/>
  <c r="B665"/>
  <c r="A666"/>
  <c r="B666"/>
  <c r="A667"/>
  <c r="B667"/>
  <c r="A668"/>
  <c r="B668"/>
  <c r="A669"/>
  <c r="B669"/>
  <c r="A670"/>
  <c r="B670"/>
  <c r="A671"/>
  <c r="B671"/>
  <c r="A672"/>
  <c r="B672"/>
  <c r="A673"/>
  <c r="B673"/>
  <c r="A674"/>
  <c r="B674"/>
  <c r="A675"/>
  <c r="B675"/>
  <c r="A676"/>
  <c r="B676"/>
  <c r="A677"/>
  <c r="B677"/>
  <c r="A678"/>
  <c r="B678"/>
  <c r="A679"/>
  <c r="B679"/>
  <c r="A680"/>
  <c r="B680"/>
  <c r="A681"/>
  <c r="B681"/>
  <c r="A682"/>
  <c r="B682"/>
  <c r="A683"/>
  <c r="B683"/>
  <c r="A684"/>
  <c r="B684"/>
  <c r="A685"/>
  <c r="B685"/>
  <c r="A686"/>
  <c r="B686"/>
  <c r="A687"/>
  <c r="B687"/>
  <c r="A688"/>
  <c r="B688"/>
  <c r="A689"/>
  <c r="B689"/>
  <c r="A690"/>
  <c r="B690"/>
  <c r="A691"/>
  <c r="B691"/>
  <c r="A692"/>
  <c r="B692"/>
  <c r="A693"/>
  <c r="B693"/>
  <c r="A694"/>
  <c r="B694"/>
  <c r="A695"/>
  <c r="B695"/>
  <c r="A696"/>
  <c r="B696"/>
  <c r="A697"/>
  <c r="B697"/>
  <c r="A698"/>
  <c r="B698"/>
  <c r="A699"/>
  <c r="B699"/>
  <c r="A700"/>
  <c r="B700"/>
  <c r="A701"/>
  <c r="B701"/>
  <c r="A702"/>
  <c r="B702"/>
  <c r="A703"/>
  <c r="B703"/>
  <c r="A704"/>
  <c r="B704"/>
  <c r="A705"/>
  <c r="B705"/>
  <c r="A706"/>
  <c r="B706"/>
  <c r="A707"/>
  <c r="B707"/>
  <c r="A708"/>
  <c r="B708"/>
  <c r="A709"/>
  <c r="B709"/>
  <c r="A710"/>
  <c r="B710"/>
  <c r="A711"/>
  <c r="B711"/>
  <c r="A712"/>
  <c r="B712"/>
  <c r="A713"/>
  <c r="B713"/>
  <c r="A714"/>
  <c r="B714"/>
  <c r="A715"/>
  <c r="B715"/>
  <c r="A716"/>
  <c r="B716"/>
  <c r="A717"/>
  <c r="B717"/>
  <c r="A718"/>
  <c r="B718"/>
  <c r="A719"/>
  <c r="B719"/>
  <c r="A720"/>
  <c r="B720"/>
  <c r="A721"/>
  <c r="B721"/>
  <c r="A722"/>
  <c r="B722"/>
  <c r="A723"/>
  <c r="B723"/>
  <c r="A724"/>
  <c r="B724"/>
  <c r="A725"/>
  <c r="B725"/>
  <c r="A726"/>
  <c r="B726"/>
  <c r="A727"/>
  <c r="B727"/>
  <c r="A728"/>
  <c r="B728"/>
  <c r="A729"/>
  <c r="B729"/>
  <c r="A730"/>
  <c r="B730"/>
  <c r="A731"/>
  <c r="B731"/>
  <c r="A732"/>
  <c r="B732"/>
  <c r="A733"/>
  <c r="B733"/>
  <c r="A734"/>
  <c r="B734"/>
  <c r="A735"/>
  <c r="B735"/>
  <c r="A736"/>
  <c r="B736"/>
  <c r="A737"/>
  <c r="B737"/>
  <c r="A738"/>
  <c r="B738"/>
  <c r="A739"/>
  <c r="B739"/>
  <c r="A740"/>
  <c r="B740"/>
  <c r="A741"/>
  <c r="B741"/>
  <c r="A742"/>
  <c r="B742"/>
  <c r="A743"/>
  <c r="B743"/>
  <c r="A744"/>
  <c r="B744"/>
  <c r="A745"/>
  <c r="B745"/>
  <c r="A746"/>
  <c r="B746"/>
  <c r="A747"/>
  <c r="B747"/>
  <c r="A748"/>
  <c r="B748"/>
  <c r="A749"/>
  <c r="B749"/>
  <c r="A750"/>
  <c r="B750"/>
  <c r="A751"/>
  <c r="B751"/>
  <c r="A752"/>
  <c r="B752"/>
  <c r="A753"/>
  <c r="B753"/>
  <c r="A754"/>
  <c r="B754"/>
  <c r="A755"/>
  <c r="B755"/>
  <c r="A756"/>
  <c r="B756"/>
  <c r="A757"/>
  <c r="B757"/>
  <c r="A758"/>
  <c r="B758"/>
  <c r="A759"/>
  <c r="B759"/>
  <c r="A760"/>
  <c r="B760"/>
  <c r="A761"/>
  <c r="B761"/>
  <c r="A762"/>
  <c r="B762"/>
  <c r="A763"/>
  <c r="B763"/>
  <c r="A764"/>
  <c r="B764"/>
  <c r="A765"/>
  <c r="B765"/>
  <c r="A766"/>
  <c r="B766"/>
  <c r="A767"/>
  <c r="B767"/>
  <c r="A768"/>
  <c r="B768"/>
  <c r="A769"/>
  <c r="B769"/>
  <c r="A770"/>
  <c r="B770"/>
  <c r="A771"/>
  <c r="B771"/>
  <c r="A772"/>
  <c r="B772"/>
  <c r="A773"/>
  <c r="B773"/>
  <c r="A774"/>
  <c r="B774"/>
  <c r="A775"/>
  <c r="B775"/>
  <c r="A776"/>
  <c r="B776"/>
  <c r="A777"/>
  <c r="B777"/>
  <c r="A778"/>
  <c r="B778"/>
  <c r="A779"/>
  <c r="B779"/>
  <c r="A780"/>
  <c r="B780"/>
  <c r="A781"/>
  <c r="B781"/>
  <c r="A782"/>
  <c r="B782"/>
  <c r="A783"/>
  <c r="B783"/>
  <c r="A784"/>
  <c r="B784"/>
  <c r="A785"/>
  <c r="B785"/>
  <c r="A786"/>
  <c r="B786"/>
  <c r="A787"/>
  <c r="B787"/>
  <c r="A788"/>
  <c r="B788"/>
  <c r="A789"/>
  <c r="B789"/>
  <c r="A790"/>
  <c r="B790"/>
  <c r="A791"/>
  <c r="B791"/>
  <c r="A792"/>
  <c r="B792"/>
  <c r="A793"/>
  <c r="B793"/>
  <c r="A794"/>
  <c r="B794"/>
  <c r="A795"/>
  <c r="B795"/>
  <c r="A796"/>
  <c r="B796"/>
  <c r="A797"/>
  <c r="B797"/>
  <c r="A798"/>
  <c r="B798"/>
  <c r="A799"/>
  <c r="B799"/>
  <c r="A800"/>
  <c r="B800"/>
  <c r="A801"/>
  <c r="B801"/>
  <c r="A802"/>
  <c r="B802"/>
  <c r="A803"/>
  <c r="B803"/>
  <c r="A804"/>
  <c r="B804"/>
  <c r="A805"/>
  <c r="B805"/>
  <c r="A806"/>
  <c r="B806"/>
  <c r="A807"/>
  <c r="B807"/>
  <c r="A808"/>
  <c r="B808"/>
  <c r="A809"/>
  <c r="B809"/>
  <c r="A810"/>
  <c r="B810"/>
  <c r="A811"/>
  <c r="B811"/>
  <c r="A812"/>
  <c r="B812"/>
  <c r="A813"/>
  <c r="B813"/>
  <c r="A814"/>
  <c r="B814"/>
  <c r="A815"/>
  <c r="B815"/>
  <c r="A816"/>
  <c r="B816"/>
  <c r="A817"/>
  <c r="B817"/>
  <c r="A818"/>
  <c r="B818"/>
  <c r="A819"/>
  <c r="B819"/>
  <c r="A820"/>
  <c r="B820"/>
  <c r="A821"/>
  <c r="B821"/>
  <c r="A822"/>
  <c r="B822"/>
  <c r="A823"/>
  <c r="B823"/>
  <c r="A824"/>
  <c r="B824"/>
  <c r="A825"/>
  <c r="B825"/>
  <c r="A826"/>
  <c r="B826"/>
  <c r="A827"/>
  <c r="B827"/>
  <c r="A828"/>
  <c r="B828"/>
  <c r="A829"/>
  <c r="B829"/>
  <c r="A830"/>
  <c r="B830"/>
  <c r="A831"/>
  <c r="B831"/>
  <c r="A832"/>
  <c r="B832"/>
  <c r="A833"/>
  <c r="B833"/>
  <c r="A834"/>
  <c r="B834"/>
  <c r="A835"/>
  <c r="B835"/>
  <c r="A836"/>
  <c r="B836"/>
  <c r="A837"/>
  <c r="B837"/>
  <c r="A838"/>
  <c r="B838"/>
  <c r="A839"/>
  <c r="B839"/>
  <c r="A840"/>
  <c r="B840"/>
  <c r="A841"/>
  <c r="B841"/>
  <c r="A842"/>
  <c r="B842"/>
  <c r="A843"/>
  <c r="B843"/>
  <c r="A844"/>
  <c r="B844"/>
  <c r="A845"/>
  <c r="B845"/>
  <c r="A846"/>
  <c r="B846"/>
  <c r="A847"/>
  <c r="B847"/>
  <c r="A848"/>
  <c r="B848"/>
  <c r="A849"/>
  <c r="B849"/>
  <c r="A850"/>
  <c r="B850"/>
  <c r="A851"/>
  <c r="B851"/>
  <c r="A852"/>
  <c r="B852"/>
  <c r="A853"/>
  <c r="B853"/>
  <c r="A854"/>
  <c r="B854"/>
  <c r="A855"/>
  <c r="B855"/>
  <c r="A856"/>
  <c r="B856"/>
  <c r="A857"/>
  <c r="B857"/>
  <c r="A858"/>
  <c r="B858"/>
  <c r="A859"/>
  <c r="B859"/>
  <c r="A860"/>
  <c r="B860"/>
  <c r="A861"/>
  <c r="B861"/>
  <c r="A862"/>
  <c r="B862"/>
  <c r="A863"/>
  <c r="B863"/>
  <c r="A864"/>
  <c r="B864"/>
  <c r="A865"/>
  <c r="B865"/>
  <c r="A866"/>
  <c r="B866"/>
  <c r="A867"/>
  <c r="B867"/>
  <c r="A868"/>
  <c r="B868"/>
  <c r="A869"/>
  <c r="B869"/>
  <c r="A870"/>
  <c r="B870"/>
  <c r="A871"/>
  <c r="B871"/>
  <c r="A872"/>
  <c r="B872"/>
  <c r="A873"/>
  <c r="B873"/>
  <c r="A874"/>
  <c r="B874"/>
  <c r="A875"/>
  <c r="B875"/>
  <c r="A876"/>
  <c r="B876"/>
  <c r="A877"/>
  <c r="B877"/>
  <c r="A878"/>
  <c r="B878"/>
  <c r="A879"/>
  <c r="B879"/>
  <c r="A880"/>
  <c r="B880"/>
  <c r="A881"/>
  <c r="B881"/>
  <c r="A882"/>
  <c r="B882"/>
  <c r="A883"/>
  <c r="B883"/>
  <c r="A884"/>
  <c r="B884"/>
  <c r="A885"/>
  <c r="B885"/>
  <c r="A886"/>
  <c r="B886"/>
  <c r="A887"/>
  <c r="B887"/>
  <c r="A888"/>
  <c r="B888"/>
  <c r="A889"/>
  <c r="B889"/>
  <c r="A890"/>
  <c r="B890"/>
  <c r="A891"/>
  <c r="B891"/>
  <c r="A892"/>
  <c r="B892"/>
  <c r="A893"/>
  <c r="B893"/>
  <c r="A894"/>
  <c r="B894"/>
  <c r="A895"/>
  <c r="B895"/>
  <c r="A896"/>
  <c r="B896"/>
  <c r="A897"/>
  <c r="B897"/>
  <c r="A898"/>
  <c r="B898"/>
  <c r="A899"/>
  <c r="B899"/>
  <c r="A900"/>
  <c r="B900"/>
  <c r="A901"/>
  <c r="B901"/>
  <c r="A902"/>
  <c r="B902"/>
  <c r="A903"/>
  <c r="B903"/>
  <c r="A904"/>
  <c r="B904"/>
  <c r="A905"/>
  <c r="B905"/>
  <c r="A906"/>
  <c r="B906"/>
  <c r="A907"/>
  <c r="B907"/>
  <c r="A908"/>
  <c r="B908"/>
  <c r="A909"/>
  <c r="B909"/>
  <c r="A910"/>
  <c r="B910"/>
  <c r="A911"/>
  <c r="B911"/>
  <c r="A912"/>
  <c r="B912"/>
  <c r="A913"/>
  <c r="B913"/>
  <c r="A914"/>
  <c r="B914"/>
  <c r="A915"/>
  <c r="B915"/>
  <c r="A916"/>
  <c r="B916"/>
  <c r="A917"/>
  <c r="B917"/>
  <c r="A918"/>
  <c r="B918"/>
  <c r="A919"/>
  <c r="B919"/>
  <c r="A920"/>
  <c r="B920"/>
  <c r="A921"/>
  <c r="B921"/>
  <c r="A922"/>
  <c r="B922"/>
  <c r="A923"/>
  <c r="B923"/>
  <c r="A924"/>
  <c r="B924"/>
  <c r="A925"/>
  <c r="B925"/>
  <c r="A926"/>
  <c r="B926"/>
  <c r="A927"/>
  <c r="B927"/>
  <c r="A928"/>
  <c r="B928"/>
  <c r="A929"/>
  <c r="B929"/>
  <c r="A930"/>
  <c r="B930"/>
  <c r="A931"/>
  <c r="B931"/>
  <c r="A932"/>
  <c r="B932"/>
  <c r="A933"/>
  <c r="B933"/>
  <c r="A934"/>
  <c r="B934"/>
  <c r="A935"/>
  <c r="B935"/>
  <c r="A936"/>
  <c r="B936"/>
  <c r="A937"/>
  <c r="B937"/>
  <c r="A938"/>
  <c r="B938"/>
  <c r="A939"/>
  <c r="B939"/>
  <c r="A940"/>
  <c r="B940"/>
  <c r="A941"/>
  <c r="B941"/>
  <c r="A942"/>
  <c r="B942"/>
  <c r="A943"/>
  <c r="B943"/>
  <c r="A944"/>
  <c r="B944"/>
  <c r="A945"/>
  <c r="B945"/>
  <c r="A946"/>
  <c r="B946"/>
  <c r="A947"/>
  <c r="B947"/>
  <c r="A948"/>
  <c r="B948"/>
  <c r="A949"/>
  <c r="B949"/>
  <c r="A950"/>
  <c r="B950"/>
  <c r="A951"/>
  <c r="B951"/>
  <c r="A952"/>
  <c r="B952"/>
  <c r="A953"/>
  <c r="B953"/>
  <c r="A954"/>
  <c r="B954"/>
  <c r="A955"/>
  <c r="B955"/>
  <c r="A956"/>
  <c r="B956"/>
  <c r="A957"/>
  <c r="B957"/>
  <c r="A958"/>
  <c r="B958"/>
  <c r="A959"/>
  <c r="B959"/>
  <c r="A960"/>
  <c r="B960"/>
  <c r="A961"/>
  <c r="B961"/>
  <c r="A962"/>
  <c r="B962"/>
  <c r="A963"/>
  <c r="B963"/>
  <c r="A964"/>
  <c r="B964"/>
  <c r="A965"/>
  <c r="B965"/>
  <c r="A966"/>
  <c r="B966"/>
  <c r="A967"/>
  <c r="B967"/>
  <c r="A968"/>
  <c r="B968"/>
  <c r="A969"/>
  <c r="B969"/>
  <c r="A970"/>
  <c r="B970"/>
  <c r="A971"/>
  <c r="B971"/>
  <c r="A972"/>
  <c r="B972"/>
  <c r="A973"/>
  <c r="B973"/>
  <c r="A974"/>
  <c r="B974"/>
  <c r="A975"/>
  <c r="B975"/>
  <c r="A976"/>
  <c r="B976"/>
  <c r="A977"/>
  <c r="B977"/>
  <c r="A978"/>
  <c r="B978"/>
  <c r="A979"/>
  <c r="B979"/>
  <c r="A980"/>
  <c r="B980"/>
  <c r="A981"/>
  <c r="B981"/>
  <c r="A982"/>
  <c r="B982"/>
  <c r="A983"/>
  <c r="B983"/>
  <c r="A984"/>
  <c r="B984"/>
  <c r="A985"/>
  <c r="B985"/>
  <c r="A986"/>
  <c r="B986"/>
  <c r="A987"/>
  <c r="B987"/>
  <c r="A988"/>
  <c r="B988"/>
  <c r="A989"/>
  <c r="B989"/>
  <c r="A990"/>
  <c r="B990"/>
  <c r="A991"/>
  <c r="B991"/>
  <c r="A992"/>
  <c r="B992"/>
  <c r="A993"/>
  <c r="B993"/>
  <c r="A994"/>
  <c r="B994"/>
  <c r="A995"/>
  <c r="B995"/>
  <c r="A996"/>
  <c r="B996"/>
  <c r="A997"/>
  <c r="B997"/>
  <c r="A998"/>
  <c r="B998"/>
  <c r="A999"/>
  <c r="B999"/>
  <c r="A1000"/>
  <c r="B1000"/>
  <c r="A1001"/>
  <c r="B1001"/>
  <c r="A1002"/>
  <c r="B1002"/>
  <c r="A1003"/>
  <c r="B1003"/>
  <c r="A1004"/>
  <c r="B1004"/>
  <c r="A1005"/>
  <c r="B1005"/>
  <c r="A1006"/>
  <c r="B1006"/>
  <c r="A1007"/>
  <c r="B1007"/>
  <c r="A1008"/>
  <c r="B1008"/>
  <c r="A1009"/>
  <c r="B1009"/>
  <c r="A1010"/>
  <c r="B1010"/>
  <c r="A1011"/>
  <c r="B1011"/>
  <c r="A1012"/>
  <c r="B1012"/>
  <c r="A1013"/>
  <c r="B1013"/>
  <c r="A1014"/>
  <c r="B1014"/>
  <c r="A1015"/>
  <c r="B1015"/>
  <c r="A1016"/>
  <c r="B1016"/>
  <c r="A1017"/>
  <c r="B1017"/>
  <c r="A1018"/>
  <c r="B1018"/>
  <c r="A1019"/>
  <c r="B1019"/>
  <c r="A1020"/>
  <c r="B1020"/>
  <c r="A1021"/>
  <c r="B1021"/>
  <c r="A1022"/>
  <c r="B1022"/>
  <c r="A1023"/>
  <c r="B1023"/>
  <c r="A1024"/>
  <c r="B1024"/>
  <c r="A1025"/>
  <c r="B1025"/>
  <c r="A1026"/>
  <c r="B1026"/>
  <c r="A1027"/>
  <c r="B1027"/>
  <c r="A1028"/>
  <c r="B1028"/>
  <c r="A1029"/>
  <c r="B1029"/>
  <c r="A1030"/>
  <c r="B1030"/>
  <c r="A1031"/>
  <c r="B1031"/>
  <c r="A1032"/>
  <c r="B1032"/>
  <c r="A1033"/>
  <c r="B1033"/>
  <c r="A1034"/>
  <c r="B1034"/>
  <c r="A1035"/>
  <c r="B1035"/>
  <c r="A1036"/>
  <c r="B1036"/>
  <c r="A1037"/>
  <c r="B1037"/>
  <c r="A1038"/>
  <c r="B1038"/>
  <c r="A1039"/>
  <c r="B1039"/>
  <c r="A1040"/>
  <c r="B1040"/>
  <c r="A1041"/>
  <c r="B1041"/>
  <c r="A1042"/>
  <c r="B1042"/>
  <c r="A1043"/>
  <c r="B1043"/>
  <c r="A1044"/>
  <c r="B1044"/>
  <c r="A1045"/>
  <c r="B1045"/>
  <c r="A1046"/>
  <c r="B1046"/>
  <c r="A1047"/>
  <c r="B1047"/>
  <c r="A1048"/>
  <c r="B1048"/>
  <c r="A1049"/>
  <c r="B1049"/>
  <c r="A1050"/>
  <c r="B1050"/>
  <c r="A1051"/>
  <c r="B1051"/>
  <c r="A1052"/>
  <c r="B1052"/>
  <c r="A1053"/>
  <c r="B1053"/>
  <c r="A1054"/>
  <c r="B1054"/>
  <c r="A1055"/>
  <c r="B1055"/>
  <c r="A1056"/>
  <c r="B1056"/>
  <c r="A1057"/>
  <c r="B1057"/>
  <c r="A1058"/>
  <c r="B1058"/>
  <c r="A1059"/>
  <c r="B1059"/>
  <c r="A1060"/>
  <c r="B1060"/>
  <c r="A1061"/>
  <c r="B1061"/>
  <c r="A1062"/>
  <c r="B1062"/>
  <c r="A1063"/>
  <c r="B1063"/>
  <c r="A1064"/>
  <c r="B1064"/>
  <c r="A1065"/>
  <c r="B1065"/>
  <c r="A1066"/>
  <c r="B1066"/>
  <c r="A1067"/>
  <c r="B1067"/>
  <c r="A1068"/>
  <c r="B1068"/>
  <c r="A1069"/>
  <c r="B1069"/>
  <c r="A1070"/>
  <c r="B1070"/>
  <c r="A1071"/>
  <c r="B1071"/>
  <c r="A1072"/>
  <c r="B1072"/>
  <c r="A1073"/>
  <c r="B1073"/>
  <c r="A1074"/>
  <c r="B1074"/>
  <c r="A1075"/>
  <c r="B1075"/>
  <c r="A1076"/>
  <c r="B1076"/>
  <c r="A1077"/>
  <c r="B1077"/>
  <c r="A1078"/>
  <c r="B1078"/>
  <c r="A1079"/>
  <c r="B1079"/>
  <c r="A1080"/>
  <c r="B1080"/>
  <c r="A1081"/>
  <c r="B1081"/>
  <c r="A1082"/>
  <c r="B1082"/>
  <c r="A1083"/>
  <c r="B1083"/>
  <c r="A1084"/>
  <c r="B1084"/>
  <c r="A1085"/>
  <c r="B1085"/>
  <c r="A1086"/>
  <c r="B1086"/>
  <c r="A1087"/>
  <c r="B1087"/>
  <c r="A1088"/>
  <c r="B1088"/>
  <c r="A1089"/>
  <c r="B1089"/>
  <c r="A1090"/>
  <c r="B1090"/>
  <c r="A1091"/>
  <c r="B1091"/>
  <c r="A1092"/>
  <c r="B1092"/>
  <c r="A1093"/>
  <c r="B1093"/>
  <c r="A1094"/>
  <c r="B1094"/>
  <c r="A1095"/>
  <c r="B1095"/>
  <c r="A1096"/>
  <c r="B1096"/>
  <c r="A1097"/>
  <c r="B1097"/>
  <c r="A1098"/>
  <c r="B1098"/>
  <c r="A1099"/>
  <c r="B1099"/>
  <c r="A1100"/>
  <c r="B1100"/>
  <c r="A1101"/>
  <c r="B1101"/>
  <c r="A1102"/>
  <c r="B1102"/>
  <c r="A1103"/>
  <c r="B1103"/>
  <c r="A1104"/>
  <c r="B1104"/>
  <c r="A1105"/>
  <c r="B1105"/>
  <c r="A1106"/>
  <c r="B1106"/>
  <c r="A1107"/>
  <c r="B1107"/>
  <c r="A1108"/>
  <c r="B1108"/>
  <c r="A1109"/>
  <c r="B1109"/>
  <c r="A1110"/>
  <c r="B1110"/>
  <c r="A1111"/>
  <c r="B1111"/>
  <c r="A1112"/>
  <c r="B1112"/>
  <c r="A1113"/>
  <c r="B1113"/>
  <c r="A1114"/>
  <c r="B1114"/>
  <c r="A1115"/>
  <c r="B1115"/>
  <c r="A1116"/>
  <c r="B1116"/>
  <c r="A1117"/>
  <c r="B1117"/>
  <c r="A1118"/>
  <c r="B1118"/>
  <c r="A1119"/>
  <c r="B1119"/>
  <c r="A1120"/>
  <c r="B1120"/>
  <c r="A1121"/>
  <c r="B1121"/>
  <c r="A1122"/>
  <c r="B1122"/>
  <c r="A1123"/>
  <c r="B1123"/>
  <c r="A1124"/>
  <c r="B1124"/>
  <c r="A1125"/>
  <c r="B1125"/>
  <c r="A1126"/>
  <c r="B1126"/>
  <c r="A1127"/>
  <c r="B1127"/>
  <c r="A1128"/>
  <c r="B1128"/>
  <c r="A1129"/>
  <c r="B1129"/>
  <c r="A1130"/>
  <c r="B1130"/>
  <c r="A1131"/>
  <c r="B1131"/>
  <c r="A1132"/>
  <c r="B1132"/>
  <c r="A1133"/>
  <c r="B1133"/>
  <c r="A1134"/>
  <c r="B1134"/>
  <c r="A1135"/>
  <c r="B1135"/>
  <c r="A1136"/>
  <c r="B1136"/>
  <c r="A1137"/>
  <c r="B1137"/>
  <c r="A1138"/>
  <c r="B1138"/>
  <c r="A1139"/>
  <c r="B1139"/>
  <c r="A1140"/>
  <c r="B1140"/>
  <c r="A1141"/>
  <c r="B1141"/>
  <c r="A1142"/>
  <c r="B1142"/>
  <c r="A1143"/>
  <c r="B1143"/>
  <c r="A1144"/>
  <c r="B1144"/>
  <c r="A1145"/>
  <c r="B1145"/>
  <c r="A1146"/>
  <c r="B1146"/>
  <c r="A1147"/>
  <c r="B1147"/>
  <c r="A1148"/>
  <c r="B1148"/>
  <c r="A1149"/>
  <c r="B1149"/>
  <c r="A1150"/>
  <c r="B1150"/>
  <c r="A1151"/>
  <c r="B1151"/>
  <c r="A1152"/>
  <c r="B1152"/>
  <c r="A1153"/>
  <c r="B1153"/>
  <c r="A1154"/>
  <c r="B1154"/>
  <c r="A1155"/>
  <c r="B1155"/>
  <c r="A1156"/>
  <c r="B1156"/>
  <c r="A1157"/>
  <c r="B1157"/>
  <c r="A1158"/>
  <c r="B1158"/>
  <c r="A1159"/>
  <c r="B1159"/>
  <c r="A1160"/>
  <c r="B1160"/>
  <c r="A1161"/>
  <c r="B1161"/>
  <c r="A1162"/>
  <c r="B1162"/>
  <c r="A1163"/>
  <c r="B1163"/>
  <c r="A1164"/>
  <c r="B1164"/>
  <c r="A1165"/>
  <c r="B1165"/>
  <c r="A1166"/>
  <c r="B1166"/>
  <c r="A1167"/>
  <c r="B1167"/>
  <c r="A1168"/>
  <c r="B1168"/>
  <c r="A1169"/>
  <c r="B1169"/>
  <c r="A1170"/>
  <c r="B1170"/>
  <c r="A1171"/>
  <c r="B1171"/>
  <c r="A1172"/>
  <c r="B1172"/>
  <c r="A1173"/>
  <c r="B1173"/>
  <c r="A1174"/>
  <c r="B1174"/>
  <c r="A1175"/>
  <c r="B1175"/>
  <c r="A1176"/>
  <c r="B1176"/>
  <c r="A1177"/>
  <c r="B1177"/>
  <c r="A1178"/>
  <c r="B1178"/>
  <c r="A1179"/>
  <c r="B1179"/>
  <c r="A1180"/>
  <c r="B1180"/>
  <c r="A1181"/>
  <c r="B1181"/>
  <c r="A1182"/>
  <c r="B1182"/>
  <c r="A1183"/>
  <c r="B1183"/>
  <c r="A1184"/>
  <c r="B1184"/>
  <c r="A1185"/>
  <c r="B1185"/>
  <c r="A1186"/>
  <c r="B1186"/>
  <c r="A1187"/>
  <c r="B1187"/>
  <c r="A1188"/>
  <c r="B1188"/>
  <c r="A1189"/>
  <c r="B1189"/>
  <c r="A1190"/>
  <c r="B1190"/>
  <c r="A1191"/>
  <c r="B1191"/>
  <c r="A1192"/>
  <c r="B1192"/>
  <c r="A1193"/>
  <c r="B1193"/>
  <c r="A1194"/>
  <c r="B1194"/>
  <c r="A1195"/>
  <c r="B1195"/>
  <c r="A1196"/>
  <c r="B1196"/>
  <c r="A1197"/>
  <c r="B1197"/>
  <c r="A1198"/>
  <c r="B1198"/>
  <c r="A1199"/>
  <c r="B1199"/>
  <c r="A1200"/>
  <c r="B1200"/>
  <c r="A1201"/>
  <c r="B1201"/>
  <c r="A1202"/>
  <c r="B1202"/>
  <c r="A1203"/>
  <c r="B1203"/>
  <c r="A1204"/>
  <c r="B1204"/>
  <c r="A1205"/>
  <c r="B1205"/>
  <c r="A1206"/>
  <c r="B1206"/>
  <c r="A1207"/>
  <c r="B1207"/>
  <c r="A1208"/>
  <c r="B1208"/>
  <c r="A1209"/>
  <c r="B1209"/>
  <c r="A1210"/>
  <c r="B1210"/>
  <c r="A1211"/>
  <c r="B1211"/>
  <c r="A1212"/>
  <c r="B1212"/>
  <c r="A1213"/>
  <c r="B1213"/>
  <c r="A1214"/>
  <c r="B1214"/>
  <c r="A1215"/>
  <c r="B1215"/>
  <c r="A1216"/>
  <c r="B1216"/>
  <c r="A1217"/>
  <c r="B1217"/>
  <c r="A1218"/>
  <c r="B1218"/>
  <c r="A1219"/>
  <c r="B1219"/>
  <c r="A1220"/>
  <c r="B1220"/>
  <c r="A1221"/>
  <c r="B1221"/>
  <c r="A1222"/>
  <c r="B1222"/>
  <c r="A1223"/>
  <c r="B1223"/>
  <c r="A1224"/>
  <c r="B1224"/>
  <c r="A1225"/>
  <c r="B1225"/>
  <c r="A1226"/>
  <c r="B1226"/>
  <c r="A1227"/>
  <c r="B1227"/>
  <c r="A1228"/>
  <c r="B1228"/>
  <c r="A1229"/>
  <c r="B1229"/>
  <c r="A1230"/>
  <c r="B1230"/>
  <c r="A1231"/>
  <c r="B1231"/>
  <c r="A1232"/>
  <c r="B1232"/>
  <c r="A1233"/>
  <c r="B1233"/>
  <c r="A1234"/>
  <c r="B1234"/>
  <c r="A1235"/>
  <c r="B1235"/>
  <c r="A1236"/>
  <c r="B1236"/>
  <c r="A1237"/>
  <c r="B1237"/>
  <c r="A1238"/>
  <c r="B1238"/>
  <c r="A1239"/>
  <c r="B1239"/>
  <c r="A1240"/>
  <c r="B1240"/>
  <c r="A1241"/>
  <c r="B1241"/>
  <c r="A1242"/>
  <c r="B1242"/>
  <c r="A1243"/>
  <c r="B1243"/>
  <c r="A1244"/>
  <c r="B1244"/>
  <c r="A1245"/>
  <c r="B1245"/>
  <c r="A1246"/>
  <c r="B1246"/>
  <c r="A1247"/>
  <c r="B1247"/>
  <c r="A1248"/>
  <c r="B1248"/>
  <c r="A1249"/>
  <c r="B1249"/>
  <c r="A1250"/>
  <c r="B1250"/>
  <c r="A1251"/>
  <c r="B1251"/>
  <c r="A1252"/>
  <c r="B1252"/>
  <c r="A1253"/>
  <c r="B1253"/>
  <c r="A1254"/>
  <c r="B1254"/>
  <c r="A1255"/>
  <c r="B1255"/>
  <c r="A1256"/>
  <c r="B1256"/>
  <c r="A1257"/>
  <c r="B1257"/>
  <c r="A1258"/>
  <c r="B1258"/>
  <c r="A1259"/>
  <c r="B1259"/>
  <c r="A1260"/>
  <c r="B1260"/>
  <c r="A1261"/>
  <c r="B1261"/>
  <c r="A1262"/>
  <c r="B1262"/>
  <c r="A1263"/>
  <c r="B1263"/>
  <c r="A1264"/>
  <c r="B1264"/>
  <c r="A1265"/>
  <c r="B1265"/>
  <c r="A1266"/>
  <c r="B1266"/>
  <c r="A1267"/>
  <c r="B1267"/>
  <c r="A1268"/>
  <c r="B1268"/>
  <c r="A1269"/>
  <c r="B1269"/>
  <c r="A1270"/>
  <c r="B1270"/>
  <c r="A1271"/>
  <c r="B1271"/>
  <c r="A1272"/>
  <c r="B1272"/>
  <c r="A1273"/>
  <c r="B1273"/>
  <c r="A1274"/>
  <c r="B1274"/>
  <c r="A1275"/>
  <c r="B1275"/>
  <c r="A1276"/>
  <c r="B1276"/>
  <c r="A1277"/>
  <c r="B1277"/>
  <c r="A1278"/>
  <c r="B1278"/>
  <c r="A1279"/>
  <c r="B1279"/>
  <c r="A1280"/>
  <c r="B1280"/>
  <c r="A1281"/>
  <c r="B1281"/>
  <c r="A1282"/>
  <c r="B1282"/>
  <c r="A1283"/>
  <c r="B1283"/>
  <c r="A1284"/>
  <c r="B1284"/>
  <c r="A1285"/>
  <c r="B1285"/>
  <c r="A1286"/>
  <c r="B1286"/>
  <c r="A1287"/>
  <c r="B1287"/>
  <c r="A1288"/>
  <c r="B1288"/>
  <c r="A1289"/>
  <c r="B1289"/>
  <c r="A1290"/>
  <c r="B1290"/>
  <c r="A1291"/>
  <c r="B1291"/>
  <c r="A1292"/>
  <c r="B1292"/>
  <c r="A1293"/>
  <c r="B1293"/>
  <c r="A1294"/>
  <c r="B1294"/>
  <c r="A1295"/>
  <c r="B1295"/>
  <c r="A1296"/>
  <c r="B1296"/>
  <c r="A1297"/>
  <c r="B1297"/>
  <c r="A1298"/>
  <c r="B1298"/>
  <c r="A1299"/>
  <c r="B1299"/>
  <c r="A1300"/>
  <c r="B1300"/>
  <c r="A1301"/>
  <c r="B1301"/>
  <c r="A1302"/>
  <c r="B1302"/>
  <c r="A1303"/>
  <c r="B1303"/>
  <c r="A1304"/>
  <c r="B1304"/>
  <c r="A1305"/>
  <c r="B1305"/>
  <c r="A1306"/>
  <c r="B1306"/>
  <c r="A1307"/>
  <c r="B1307"/>
  <c r="A1308"/>
  <c r="B1308"/>
  <c r="A1309"/>
  <c r="B1309"/>
  <c r="A1310"/>
  <c r="B1310"/>
  <c r="A1311"/>
  <c r="B1311"/>
  <c r="A1312"/>
  <c r="B1312"/>
  <c r="A1313"/>
  <c r="B1313"/>
  <c r="A1314"/>
  <c r="B1314"/>
  <c r="A1315"/>
  <c r="B1315"/>
  <c r="A1316"/>
  <c r="B1316"/>
  <c r="A1317"/>
  <c r="B1317"/>
  <c r="A1318"/>
  <c r="B1318"/>
  <c r="A1319"/>
  <c r="B1319"/>
  <c r="A1320"/>
  <c r="B1320"/>
  <c r="A1321"/>
  <c r="B1321"/>
  <c r="A1322"/>
  <c r="B1322"/>
  <c r="A1323"/>
  <c r="B1323"/>
  <c r="A1324"/>
  <c r="B1324"/>
  <c r="A1325"/>
  <c r="B1325"/>
  <c r="A1326"/>
  <c r="B1326"/>
  <c r="A1327"/>
  <c r="B1327"/>
  <c r="A1328"/>
  <c r="B1328"/>
  <c r="A1329"/>
  <c r="B1329"/>
  <c r="A1330"/>
  <c r="B1330"/>
  <c r="A1331"/>
  <c r="B1331"/>
  <c r="A1332"/>
  <c r="B1332"/>
  <c r="A1333"/>
  <c r="B1333"/>
  <c r="A1334"/>
  <c r="B1334"/>
  <c r="A1335"/>
  <c r="B1335"/>
  <c r="A1336"/>
  <c r="B1336"/>
  <c r="A1337"/>
  <c r="B1337"/>
  <c r="A1338"/>
  <c r="B1338"/>
  <c r="A1339"/>
  <c r="B1339"/>
  <c r="A1340"/>
  <c r="B1340"/>
  <c r="A1341"/>
  <c r="B1341"/>
  <c r="A1342"/>
  <c r="B1342"/>
  <c r="A1343"/>
  <c r="B1343"/>
  <c r="A1344"/>
  <c r="B1344"/>
  <c r="A1345"/>
  <c r="B1345"/>
  <c r="A1346"/>
  <c r="B1346"/>
  <c r="A1347"/>
  <c r="B1347"/>
  <c r="A1348"/>
  <c r="B1348"/>
  <c r="A1349"/>
  <c r="B1349"/>
  <c r="A1350"/>
  <c r="B1350"/>
  <c r="A1351"/>
  <c r="B1351"/>
  <c r="A1352"/>
  <c r="B1352"/>
  <c r="A1353"/>
  <c r="B1353"/>
  <c r="A1354"/>
  <c r="B1354"/>
  <c r="A1355"/>
  <c r="B1355"/>
  <c r="A1356"/>
  <c r="B1356"/>
  <c r="A1357"/>
  <c r="B1357"/>
  <c r="A1358"/>
  <c r="B1358"/>
  <c r="A1359"/>
  <c r="B1359"/>
  <c r="A1360"/>
  <c r="B1360"/>
  <c r="A1361"/>
  <c r="B1361"/>
  <c r="A1362"/>
  <c r="B1362"/>
  <c r="A1363"/>
  <c r="B1363"/>
  <c r="A1364"/>
  <c r="B1364"/>
  <c r="A1365"/>
  <c r="B1365"/>
  <c r="A1366"/>
  <c r="B1366"/>
  <c r="A1367"/>
  <c r="B1367"/>
  <c r="A1368"/>
  <c r="B1368"/>
  <c r="A1369"/>
  <c r="B1369"/>
  <c r="A1370"/>
  <c r="B1370"/>
  <c r="A1371"/>
  <c r="B1371"/>
  <c r="A1372"/>
  <c r="B1372"/>
  <c r="A1373"/>
  <c r="B1373"/>
  <c r="A1374"/>
  <c r="B1374"/>
  <c r="A1375"/>
  <c r="B1375"/>
  <c r="A1376"/>
  <c r="B1376"/>
  <c r="A1377"/>
  <c r="B1377"/>
  <c r="A1378"/>
  <c r="B1378"/>
  <c r="A1379"/>
  <c r="B1379"/>
  <c r="A1380"/>
  <c r="B1380"/>
  <c r="A1381"/>
  <c r="B1381"/>
  <c r="A1382"/>
  <c r="B1382"/>
  <c r="A1383"/>
  <c r="B1383"/>
  <c r="A1384"/>
  <c r="B1384"/>
  <c r="A1385"/>
  <c r="B1385"/>
  <c r="A1386"/>
  <c r="B1386"/>
  <c r="A1387"/>
  <c r="B1387"/>
  <c r="A1388"/>
  <c r="B1388"/>
  <c r="A1389"/>
  <c r="B1389"/>
  <c r="A1390"/>
  <c r="B1390"/>
  <c r="A1391"/>
  <c r="B1391"/>
  <c r="A1392"/>
  <c r="B1392"/>
  <c r="A1393"/>
  <c r="B1393"/>
  <c r="A1394"/>
  <c r="B1394"/>
  <c r="A1395"/>
  <c r="B1395"/>
  <c r="A1396"/>
  <c r="B1396"/>
  <c r="A1397"/>
  <c r="B1397"/>
  <c r="A1398"/>
  <c r="B1398"/>
  <c r="A1399"/>
  <c r="B1399"/>
  <c r="A1400"/>
  <c r="B1400"/>
  <c r="A1401"/>
  <c r="B1401"/>
  <c r="A1402"/>
  <c r="B1402"/>
  <c r="A1403"/>
  <c r="B1403"/>
  <c r="A1404"/>
  <c r="B1404"/>
  <c r="A1405"/>
  <c r="B1405"/>
  <c r="A1406"/>
  <c r="B1406"/>
  <c r="A1407"/>
  <c r="B1407"/>
  <c r="A1408"/>
  <c r="B1408"/>
  <c r="A1409"/>
  <c r="B1409"/>
  <c r="A1410"/>
  <c r="B1410"/>
  <c r="A1411"/>
  <c r="B1411"/>
  <c r="A1412"/>
  <c r="B1412"/>
  <c r="A1413"/>
  <c r="B1413"/>
  <c r="A1414"/>
  <c r="B1414"/>
  <c r="A1415"/>
  <c r="B1415"/>
  <c r="A1416"/>
  <c r="B1416"/>
  <c r="A1417"/>
  <c r="B1417"/>
  <c r="A1418"/>
  <c r="B1418"/>
  <c r="A1419"/>
  <c r="B1419"/>
  <c r="A1420"/>
  <c r="B1420"/>
  <c r="A1421"/>
  <c r="B1421"/>
  <c r="A1422"/>
  <c r="B1422"/>
  <c r="A1423"/>
  <c r="B1423"/>
  <c r="A1424"/>
  <c r="B1424"/>
  <c r="A1425"/>
  <c r="B1425"/>
  <c r="A1426"/>
  <c r="B1426"/>
  <c r="A1427"/>
  <c r="B1427"/>
  <c r="A1428"/>
  <c r="B1428"/>
  <c r="A1429"/>
  <c r="B1429"/>
  <c r="A1430"/>
  <c r="B1430"/>
  <c r="A1431"/>
  <c r="B1431"/>
  <c r="A1432"/>
  <c r="B1432"/>
  <c r="A1433"/>
  <c r="B1433"/>
  <c r="A1434"/>
  <c r="B1434"/>
  <c r="A1435"/>
  <c r="B1435"/>
  <c r="A1436"/>
  <c r="B1436"/>
  <c r="A1437"/>
  <c r="B1437"/>
  <c r="A1438"/>
  <c r="B1438"/>
  <c r="A1439"/>
  <c r="B1439"/>
  <c r="A1440"/>
  <c r="B1440"/>
  <c r="A1441"/>
  <c r="B1441"/>
  <c r="A1442"/>
  <c r="B1442"/>
  <c r="A1443"/>
  <c r="B1443"/>
  <c r="A1444"/>
  <c r="B1444"/>
  <c r="A1445"/>
  <c r="B1445"/>
  <c r="A1446"/>
  <c r="B1446"/>
  <c r="A1447"/>
  <c r="B1447"/>
  <c r="A1448"/>
  <c r="B1448"/>
  <c r="A1449"/>
  <c r="B1449"/>
  <c r="A1450"/>
  <c r="B1450"/>
  <c r="A1451"/>
  <c r="B1451"/>
  <c r="A1452"/>
  <c r="B1452"/>
  <c r="A1453"/>
  <c r="B1453"/>
  <c r="A1454"/>
  <c r="B1454"/>
  <c r="A1455"/>
  <c r="B1455"/>
  <c r="A1456"/>
  <c r="B1456"/>
  <c r="A1457"/>
  <c r="B1457"/>
  <c r="A1458"/>
  <c r="B1458"/>
  <c r="A1459"/>
  <c r="B1459"/>
  <c r="A1460"/>
  <c r="B1460"/>
  <c r="A1461"/>
  <c r="B1461"/>
  <c r="A1462"/>
  <c r="B1462"/>
  <c r="A1463"/>
  <c r="B1463"/>
  <c r="A1464"/>
  <c r="B1464"/>
  <c r="A1465"/>
  <c r="B1465"/>
  <c r="A1466"/>
  <c r="B1466"/>
  <c r="A1467"/>
  <c r="B1467"/>
  <c r="A1468"/>
  <c r="B1468"/>
  <c r="A1469"/>
  <c r="B1469"/>
  <c r="A1470"/>
  <c r="B1470"/>
  <c r="A1471"/>
  <c r="B1471"/>
  <c r="A1472"/>
  <c r="B1472"/>
  <c r="A1473"/>
  <c r="B1473"/>
  <c r="A1474"/>
  <c r="B1474"/>
  <c r="A1475"/>
  <c r="B1475"/>
  <c r="A1476"/>
  <c r="B1476"/>
  <c r="A1477"/>
  <c r="B1477"/>
  <c r="A1478"/>
  <c r="B1478"/>
  <c r="A1479"/>
  <c r="B1479"/>
  <c r="A1480"/>
  <c r="B1480"/>
  <c r="A1481"/>
  <c r="B1481"/>
  <c r="A1482"/>
  <c r="B1482"/>
  <c r="A1483"/>
  <c r="B1483"/>
  <c r="A1484"/>
  <c r="B1484"/>
  <c r="A1485"/>
  <c r="B1485"/>
  <c r="A1486"/>
  <c r="B1486"/>
  <c r="A1487"/>
  <c r="B1487"/>
  <c r="A1488"/>
  <c r="B1488"/>
  <c r="A1489"/>
  <c r="B1489"/>
  <c r="A1490"/>
  <c r="B1490"/>
  <c r="A1491"/>
  <c r="B1491"/>
  <c r="A1492"/>
  <c r="B1492"/>
  <c r="A1493"/>
  <c r="B1493"/>
  <c r="A1494"/>
  <c r="B1494"/>
  <c r="A1495"/>
  <c r="B1495"/>
  <c r="A1496"/>
  <c r="B1496"/>
  <c r="A1497"/>
  <c r="B1497"/>
  <c r="A1498"/>
  <c r="B1498"/>
  <c r="A1499"/>
  <c r="B1499"/>
  <c r="A1500"/>
  <c r="B1500"/>
  <c r="A1501"/>
  <c r="B1501"/>
  <c r="A1502"/>
  <c r="B1502"/>
  <c r="A1503"/>
  <c r="B1503"/>
  <c r="A1504"/>
  <c r="B1504"/>
  <c r="A1505"/>
  <c r="B1505"/>
  <c r="A1506"/>
  <c r="B1506"/>
  <c r="A1507"/>
  <c r="B1507"/>
  <c r="A1508"/>
  <c r="B1508"/>
  <c r="A1509"/>
  <c r="B1509"/>
  <c r="A1510"/>
  <c r="B1510"/>
  <c r="A1511"/>
  <c r="B1511"/>
  <c r="A1512"/>
  <c r="B1512"/>
  <c r="A1513"/>
  <c r="B1513"/>
  <c r="A1514"/>
  <c r="B1514"/>
  <c r="A1515"/>
  <c r="B1515"/>
  <c r="A1516"/>
  <c r="B1516"/>
  <c r="A1517"/>
  <c r="B1517"/>
  <c r="A1518"/>
  <c r="B1518"/>
  <c r="A1519"/>
  <c r="B1519"/>
  <c r="A1520"/>
  <c r="B1520"/>
  <c r="A1521"/>
  <c r="B1521"/>
  <c r="A1522"/>
  <c r="B1522"/>
  <c r="A1523"/>
  <c r="B1523"/>
  <c r="A1524"/>
  <c r="B1524"/>
  <c r="A1525"/>
  <c r="B1525"/>
  <c r="A1526"/>
  <c r="B1526"/>
  <c r="A1527"/>
  <c r="B1527"/>
  <c r="A1528"/>
  <c r="B1528"/>
  <c r="A1529"/>
  <c r="B1529"/>
  <c r="A1530"/>
  <c r="B1530"/>
  <c r="A1531"/>
  <c r="B1531"/>
  <c r="A1532"/>
  <c r="B1532"/>
  <c r="A1533"/>
  <c r="B1533"/>
  <c r="A1534"/>
  <c r="B1534"/>
  <c r="A1535"/>
  <c r="B1535"/>
  <c r="A1536"/>
  <c r="B1536"/>
  <c r="A1537"/>
  <c r="B1537"/>
  <c r="A1538"/>
  <c r="B1538"/>
  <c r="A1539"/>
  <c r="B1539"/>
  <c r="A1540"/>
  <c r="B1540"/>
  <c r="A1541"/>
  <c r="B1541"/>
  <c r="A1542"/>
  <c r="B1542"/>
  <c r="A1543"/>
  <c r="B1543"/>
  <c r="A1544"/>
  <c r="B1544"/>
  <c r="A1545"/>
  <c r="B1545"/>
  <c r="A1546"/>
  <c r="B1546"/>
  <c r="A1547"/>
  <c r="B1547"/>
  <c r="A1548"/>
  <c r="B1548"/>
  <c r="A1549"/>
  <c r="B1549"/>
  <c r="A1550"/>
  <c r="B1550"/>
  <c r="A1551"/>
  <c r="B1551"/>
  <c r="A1552"/>
  <c r="B1552"/>
  <c r="A1553"/>
  <c r="B1553"/>
  <c r="A1554"/>
  <c r="B1554"/>
  <c r="A1555"/>
  <c r="B1555"/>
  <c r="A1556"/>
  <c r="B1556"/>
  <c r="A1557"/>
  <c r="B1557"/>
  <c r="A1558"/>
  <c r="B1558"/>
  <c r="A1559"/>
  <c r="B1559"/>
  <c r="A1560"/>
  <c r="B1560"/>
  <c r="A1561"/>
  <c r="B1561"/>
  <c r="A1562"/>
  <c r="B1562"/>
  <c r="A1563"/>
  <c r="B1563"/>
  <c r="A1564"/>
  <c r="B1564"/>
  <c r="A1565"/>
  <c r="B1565"/>
  <c r="A1566"/>
  <c r="B1566"/>
  <c r="A1567"/>
  <c r="B1567"/>
  <c r="A1568"/>
  <c r="B1568"/>
  <c r="A1569"/>
  <c r="B1569"/>
  <c r="A1570"/>
  <c r="B1570"/>
  <c r="A1571"/>
  <c r="B1571"/>
  <c r="A1572"/>
  <c r="B1572"/>
  <c r="A1573"/>
  <c r="B1573"/>
  <c r="A1574"/>
  <c r="B1574"/>
  <c r="A1575"/>
  <c r="B1575"/>
  <c r="A1576"/>
  <c r="B1576"/>
  <c r="A1577"/>
  <c r="B1577"/>
  <c r="A1578"/>
  <c r="B1578"/>
  <c r="A1579"/>
  <c r="B1579"/>
  <c r="A1580"/>
  <c r="B1580"/>
  <c r="A1581"/>
  <c r="B1581"/>
  <c r="A1582"/>
  <c r="B1582"/>
  <c r="A1583"/>
  <c r="B1583"/>
  <c r="A1584"/>
  <c r="B1584"/>
  <c r="A1585"/>
  <c r="B1585"/>
  <c r="A1586"/>
  <c r="B1586"/>
  <c r="A1587"/>
  <c r="B1587"/>
  <c r="A1588"/>
  <c r="B1588"/>
  <c r="A1589"/>
  <c r="B1589"/>
  <c r="A1590"/>
  <c r="B1590"/>
  <c r="A1591"/>
  <c r="B1591"/>
  <c r="A1592"/>
  <c r="B1592"/>
  <c r="A1593"/>
  <c r="B1593"/>
  <c r="A1594"/>
  <c r="B1594"/>
  <c r="A1595"/>
  <c r="B1595"/>
  <c r="A1596"/>
  <c r="B1596"/>
  <c r="A1597"/>
  <c r="B1597"/>
  <c r="A1598"/>
  <c r="B1598"/>
  <c r="A1599"/>
  <c r="B1599"/>
  <c r="A1600"/>
  <c r="B1600"/>
  <c r="A1601"/>
  <c r="B1601"/>
  <c r="A1602"/>
  <c r="B1602"/>
  <c r="A1603"/>
  <c r="B1603"/>
  <c r="A1604"/>
  <c r="B1604"/>
  <c r="A1605"/>
  <c r="B1605"/>
  <c r="A1606"/>
  <c r="B1606"/>
  <c r="A1607"/>
  <c r="B1607"/>
  <c r="A1608"/>
  <c r="B1608"/>
  <c r="A1609"/>
  <c r="B1609"/>
  <c r="A1610"/>
  <c r="B1610"/>
  <c r="A1611"/>
  <c r="B1611"/>
  <c r="A1612"/>
  <c r="B1612"/>
  <c r="A1613"/>
  <c r="B1613"/>
  <c r="A1614"/>
  <c r="B1614"/>
  <c r="A1615"/>
  <c r="B1615"/>
  <c r="A1616"/>
  <c r="B1616"/>
  <c r="A1617"/>
  <c r="B1617"/>
  <c r="A1618"/>
  <c r="B1618"/>
  <c r="A1619"/>
  <c r="B1619"/>
  <c r="A1620"/>
  <c r="B1620"/>
  <c r="A1621"/>
  <c r="B1621"/>
  <c r="A1622"/>
  <c r="B1622"/>
  <c r="A1623"/>
  <c r="B1623"/>
  <c r="A1624"/>
  <c r="B1624"/>
  <c r="A1625"/>
  <c r="B1625"/>
  <c r="A1626"/>
  <c r="B1626"/>
  <c r="A1627"/>
  <c r="B1627"/>
  <c r="A1628"/>
  <c r="B1628"/>
  <c r="A1629"/>
  <c r="B1629"/>
  <c r="A1630"/>
  <c r="B1630"/>
  <c r="A1631"/>
  <c r="B1631"/>
  <c r="A1632"/>
  <c r="B1632"/>
  <c r="A1633"/>
  <c r="B1633"/>
  <c r="A1634"/>
  <c r="B1634"/>
  <c r="A1635"/>
  <c r="B1635"/>
  <c r="A1636"/>
  <c r="B1636"/>
  <c r="A1637"/>
  <c r="B1637"/>
  <c r="A1638"/>
  <c r="B1638"/>
  <c r="A1639"/>
  <c r="B1639"/>
  <c r="A1640"/>
  <c r="B1640"/>
  <c r="A1641"/>
  <c r="B1641"/>
  <c r="A1642"/>
  <c r="B1642"/>
  <c r="A1643"/>
  <c r="B1643"/>
  <c r="A1644"/>
  <c r="B1644"/>
  <c r="A1645"/>
  <c r="B1645"/>
  <c r="A1646"/>
  <c r="B1646"/>
  <c r="A1647"/>
  <c r="B1647"/>
  <c r="A1648"/>
  <c r="B1648"/>
  <c r="A1649"/>
  <c r="B1649"/>
  <c r="A1650"/>
  <c r="B1650"/>
  <c r="A1651"/>
  <c r="B1651"/>
  <c r="A1652"/>
  <c r="B1652"/>
  <c r="A1653"/>
  <c r="B1653"/>
  <c r="A1654"/>
  <c r="B1654"/>
  <c r="A1655"/>
  <c r="B1655"/>
  <c r="A1656"/>
  <c r="B1656"/>
  <c r="A1657"/>
  <c r="B1657"/>
  <c r="A1658"/>
  <c r="B1658"/>
  <c r="A1659"/>
  <c r="B1659"/>
  <c r="A1660"/>
  <c r="B1660"/>
  <c r="A1661"/>
  <c r="B1661"/>
  <c r="A1662"/>
  <c r="B1662"/>
  <c r="A1663"/>
  <c r="B1663"/>
  <c r="A1664"/>
  <c r="B1664"/>
  <c r="A1665"/>
  <c r="B1665"/>
  <c r="A1666"/>
  <c r="B1666"/>
  <c r="A1667"/>
  <c r="B1667"/>
  <c r="A1668"/>
  <c r="B1668"/>
  <c r="A1669"/>
  <c r="B1669"/>
  <c r="A1670"/>
  <c r="B1670"/>
  <c r="A1671"/>
  <c r="B1671"/>
  <c r="A1672"/>
  <c r="B1672"/>
  <c r="A1673"/>
  <c r="B1673"/>
  <c r="A1674"/>
  <c r="B1674"/>
  <c r="A1675"/>
  <c r="B1675"/>
  <c r="A1676"/>
  <c r="B1676"/>
  <c r="A1677"/>
  <c r="B1677"/>
  <c r="A1678"/>
  <c r="B1678"/>
  <c r="A1679"/>
  <c r="B1679"/>
  <c r="A1680"/>
  <c r="B1680"/>
  <c r="A1681"/>
  <c r="B1681"/>
  <c r="A1682"/>
  <c r="B1682"/>
  <c r="A1683"/>
  <c r="B1683"/>
  <c r="A1684"/>
  <c r="B1684"/>
  <c r="A1685"/>
  <c r="B1685"/>
  <c r="A1686"/>
  <c r="B1686"/>
  <c r="A1687"/>
  <c r="B1687"/>
  <c r="A1688"/>
  <c r="B1688"/>
  <c r="A1689"/>
  <c r="B1689"/>
  <c r="A1690"/>
  <c r="B1690"/>
  <c r="A1691"/>
  <c r="B1691"/>
  <c r="A1692"/>
  <c r="B1692"/>
  <c r="A1693"/>
  <c r="B1693"/>
  <c r="A1694"/>
  <c r="B1694"/>
  <c r="A1695"/>
  <c r="B1695"/>
  <c r="A1696"/>
  <c r="B1696"/>
  <c r="A1697"/>
  <c r="B1697"/>
  <c r="A1698"/>
  <c r="B1698"/>
  <c r="A1699"/>
  <c r="B1699"/>
  <c r="A1700"/>
  <c r="B1700"/>
  <c r="A1701"/>
  <c r="B1701"/>
  <c r="A1702"/>
  <c r="B1702"/>
  <c r="A1703"/>
  <c r="B1703"/>
  <c r="A1704"/>
  <c r="B1704"/>
  <c r="A1705"/>
  <c r="B1705"/>
  <c r="A1706"/>
  <c r="B1706"/>
  <c r="A1707"/>
  <c r="B1707"/>
  <c r="A1708"/>
  <c r="B1708"/>
  <c r="A1709"/>
  <c r="B1709"/>
  <c r="A1710"/>
  <c r="B1710"/>
  <c r="A1711"/>
  <c r="B1711"/>
  <c r="A1712"/>
  <c r="B1712"/>
  <c r="A1713"/>
  <c r="B1713"/>
  <c r="A1714"/>
  <c r="B1714"/>
  <c r="A1715"/>
  <c r="B1715"/>
  <c r="A1716"/>
  <c r="B1716"/>
  <c r="A1717"/>
  <c r="B1717"/>
  <c r="A1718"/>
  <c r="B1718"/>
  <c r="A1719"/>
  <c r="B1719"/>
  <c r="A1720"/>
  <c r="B1720"/>
  <c r="A1721"/>
  <c r="B1721"/>
  <c r="A1722"/>
  <c r="B1722"/>
  <c r="A1723"/>
  <c r="B1723"/>
  <c r="A1724"/>
  <c r="B1724"/>
  <c r="A1725"/>
  <c r="B1725"/>
  <c r="A1726"/>
  <c r="B1726"/>
  <c r="A1727"/>
  <c r="B1727"/>
  <c r="A1728"/>
  <c r="B1728"/>
  <c r="A1729"/>
  <c r="B1729"/>
  <c r="A1730"/>
  <c r="B1730"/>
  <c r="A1731"/>
  <c r="B1731"/>
  <c r="A1732"/>
  <c r="B1732"/>
  <c r="A1733"/>
  <c r="B1733"/>
  <c r="A1734"/>
  <c r="B1734"/>
  <c r="A1735"/>
  <c r="B1735"/>
  <c r="A1736"/>
  <c r="B1736"/>
  <c r="A1737"/>
  <c r="B1737"/>
  <c r="A1738"/>
  <c r="B1738"/>
  <c r="A1739"/>
  <c r="B1739"/>
  <c r="A1740"/>
  <c r="B1740"/>
  <c r="A1741"/>
  <c r="B1741"/>
  <c r="A1742"/>
  <c r="B1742"/>
  <c r="A1743"/>
  <c r="B1743"/>
  <c r="A1744"/>
  <c r="B1744"/>
  <c r="A1745"/>
  <c r="B1745"/>
  <c r="A1746"/>
  <c r="B1746"/>
  <c r="A1747"/>
  <c r="B1747"/>
  <c r="A1748"/>
  <c r="B1748"/>
  <c r="A1749"/>
  <c r="B1749"/>
  <c r="A1750"/>
  <c r="B1750"/>
  <c r="A1751"/>
  <c r="B1751"/>
  <c r="A1752"/>
  <c r="B1752"/>
  <c r="A1753"/>
  <c r="B1753"/>
  <c r="A1754"/>
  <c r="B1754"/>
  <c r="A1755"/>
  <c r="B1755"/>
  <c r="A1756"/>
  <c r="B1756"/>
  <c r="A1757"/>
  <c r="B1757"/>
  <c r="A1758"/>
  <c r="B1758"/>
  <c r="A1759"/>
  <c r="B1759"/>
  <c r="A1760"/>
  <c r="B1760"/>
  <c r="A1761"/>
  <c r="B1761"/>
  <c r="A1762"/>
  <c r="B1762"/>
  <c r="A1763"/>
  <c r="B1763"/>
  <c r="A1764"/>
  <c r="B1764"/>
  <c r="A1765"/>
  <c r="B1765"/>
  <c r="A1766"/>
  <c r="B1766"/>
  <c r="A1767"/>
  <c r="B1767"/>
  <c r="A1768"/>
  <c r="B1768"/>
  <c r="A1769"/>
  <c r="B1769"/>
  <c r="A1770"/>
  <c r="B1770"/>
  <c r="A1771"/>
  <c r="B1771"/>
  <c r="A1772"/>
  <c r="B1772"/>
  <c r="A1773"/>
  <c r="B1773"/>
  <c r="A1774"/>
  <c r="B1774"/>
  <c r="A1775"/>
  <c r="B1775"/>
  <c r="A1776"/>
  <c r="B1776"/>
  <c r="A1777"/>
  <c r="B1777"/>
  <c r="A1778"/>
  <c r="B1778"/>
  <c r="A1779"/>
  <c r="B1779"/>
  <c r="A1780"/>
  <c r="B1780"/>
  <c r="A1781"/>
  <c r="B1781"/>
  <c r="A1782"/>
  <c r="B1782"/>
  <c r="A1783"/>
  <c r="B1783"/>
  <c r="A1784"/>
  <c r="B1784"/>
  <c r="A1785"/>
  <c r="B1785"/>
  <c r="A1786"/>
  <c r="B1786"/>
  <c r="A1787"/>
  <c r="B1787"/>
  <c r="A1788"/>
  <c r="B1788"/>
  <c r="A1789"/>
  <c r="B1789"/>
  <c r="A1790"/>
  <c r="B1790"/>
  <c r="A1791"/>
  <c r="B1791"/>
  <c r="A1792"/>
  <c r="B1792"/>
  <c r="A1793"/>
  <c r="B1793"/>
  <c r="A1794"/>
  <c r="B1794"/>
  <c r="A1795"/>
  <c r="B1795"/>
  <c r="A1796"/>
  <c r="B1796"/>
  <c r="A1797"/>
  <c r="B1797"/>
  <c r="A1798"/>
  <c r="B1798"/>
  <c r="A1799"/>
  <c r="B1799"/>
  <c r="A1800"/>
  <c r="B1800"/>
  <c r="A1801"/>
  <c r="B1801"/>
  <c r="A1802"/>
  <c r="B1802"/>
  <c r="A1803"/>
  <c r="B1803"/>
  <c r="A1804"/>
  <c r="B1804"/>
  <c r="A1805"/>
  <c r="B1805"/>
  <c r="A1806"/>
  <c r="B1806"/>
  <c r="A1807"/>
  <c r="B1807"/>
  <c r="A1808"/>
  <c r="B1808"/>
  <c r="A1809"/>
  <c r="B1809"/>
  <c r="A1810"/>
  <c r="B1810"/>
  <c r="A1811"/>
  <c r="B1811"/>
  <c r="A1812"/>
  <c r="B1812"/>
  <c r="A1813"/>
  <c r="B1813"/>
  <c r="A1814"/>
  <c r="B1814"/>
  <c r="A1815"/>
  <c r="B1815"/>
  <c r="A1816"/>
  <c r="B1816"/>
  <c r="A1817"/>
  <c r="B1817"/>
  <c r="A1818"/>
  <c r="B1818"/>
  <c r="A1819"/>
  <c r="B1819"/>
  <c r="A1820"/>
  <c r="B1820"/>
  <c r="A1821"/>
  <c r="B1821"/>
  <c r="A1822"/>
  <c r="B1822"/>
  <c r="A1823"/>
  <c r="B1823"/>
  <c r="A1824"/>
  <c r="B1824"/>
  <c r="A1825"/>
  <c r="B1825"/>
  <c r="A1826"/>
  <c r="B1826"/>
  <c r="A1827"/>
  <c r="B1827"/>
  <c r="A1828"/>
  <c r="B1828"/>
  <c r="A1829"/>
  <c r="B1829"/>
  <c r="A1830"/>
  <c r="B1830"/>
  <c r="A1831"/>
  <c r="B1831"/>
  <c r="A1832"/>
  <c r="B1832"/>
  <c r="A1833"/>
  <c r="B1833"/>
  <c r="A1834"/>
  <c r="B1834"/>
  <c r="A1835"/>
  <c r="B1835"/>
  <c r="A1836"/>
  <c r="B1836"/>
  <c r="A1837"/>
  <c r="B1837"/>
  <c r="A1838"/>
  <c r="B1838"/>
  <c r="A1839"/>
  <c r="B1839"/>
  <c r="A1840"/>
  <c r="B1840"/>
  <c r="A1841"/>
  <c r="B1841"/>
  <c r="A1842"/>
  <c r="B1842"/>
  <c r="A1843"/>
  <c r="B1843"/>
  <c r="A1844"/>
  <c r="B1844"/>
  <c r="A1845"/>
  <c r="B1845"/>
  <c r="A1846"/>
  <c r="B1846"/>
  <c r="A1847"/>
  <c r="B1847"/>
  <c r="A1848"/>
  <c r="B1848"/>
  <c r="A1849"/>
  <c r="B1849"/>
  <c r="A1850"/>
  <c r="B1850"/>
  <c r="A1851"/>
  <c r="B1851"/>
  <c r="A1852"/>
  <c r="B1852"/>
  <c r="A1853"/>
  <c r="B1853"/>
  <c r="A1854"/>
  <c r="B1854"/>
  <c r="A1855"/>
  <c r="B1855"/>
  <c r="A1856"/>
  <c r="B1856"/>
  <c r="A1857"/>
  <c r="B1857"/>
  <c r="A1858"/>
  <c r="B1858"/>
  <c r="A1859"/>
  <c r="B1859"/>
  <c r="A1860"/>
  <c r="B1860"/>
  <c r="A1861"/>
  <c r="B1861"/>
  <c r="A1862"/>
  <c r="B1862"/>
  <c r="A1863"/>
  <c r="B1863"/>
  <c r="A1864"/>
  <c r="B1864"/>
  <c r="A1865"/>
  <c r="B1865"/>
  <c r="A1866"/>
  <c r="B1866"/>
  <c r="A1867"/>
  <c r="B1867"/>
  <c r="A1868"/>
  <c r="B1868"/>
  <c r="A1869"/>
  <c r="B1869"/>
  <c r="A1870"/>
  <c r="B1870"/>
  <c r="A1871"/>
  <c r="B1871"/>
  <c r="A1872"/>
  <c r="B1872"/>
  <c r="A1873"/>
  <c r="B1873"/>
  <c r="A1874"/>
  <c r="B1874"/>
  <c r="A1875"/>
  <c r="B1875"/>
  <c r="A1876"/>
  <c r="B1876"/>
  <c r="A1877"/>
  <c r="B1877"/>
  <c r="A1878"/>
  <c r="B1878"/>
  <c r="A1879"/>
  <c r="B1879"/>
  <c r="A1880"/>
  <c r="B1880"/>
  <c r="A1881"/>
  <c r="B1881"/>
  <c r="A1882"/>
  <c r="B1882"/>
  <c r="A1883"/>
  <c r="B1883"/>
  <c r="A1884"/>
  <c r="B1884"/>
  <c r="A1885"/>
  <c r="B1885"/>
  <c r="A1886"/>
  <c r="B1886"/>
  <c r="A1887"/>
  <c r="B1887"/>
  <c r="A1888"/>
  <c r="B1888"/>
  <c r="A1889"/>
  <c r="B1889"/>
  <c r="A1890"/>
  <c r="B1890"/>
  <c r="A1891"/>
  <c r="B1891"/>
  <c r="A1892"/>
  <c r="B1892"/>
  <c r="A1893"/>
  <c r="B1893"/>
  <c r="A1894"/>
  <c r="B1894"/>
  <c r="A1895"/>
  <c r="B1895"/>
  <c r="A1896"/>
  <c r="B1896"/>
  <c r="A1897"/>
  <c r="B1897"/>
  <c r="A1898"/>
  <c r="B1898"/>
  <c r="A1899"/>
  <c r="B1899"/>
  <c r="A1900"/>
  <c r="B1900"/>
  <c r="A1901"/>
  <c r="B1901"/>
  <c r="A1902"/>
  <c r="B1902"/>
  <c r="A1903"/>
  <c r="B1903"/>
  <c r="A1904"/>
  <c r="B1904"/>
  <c r="A1905"/>
  <c r="B1905"/>
  <c r="A1906"/>
  <c r="B1906"/>
  <c r="A1907"/>
  <c r="B1907"/>
  <c r="A1908"/>
  <c r="B1908"/>
  <c r="A1909"/>
  <c r="B1909"/>
  <c r="A1910"/>
  <c r="B1910"/>
  <c r="A1911"/>
  <c r="B1911"/>
  <c r="A1912"/>
  <c r="B1912"/>
  <c r="A1913"/>
  <c r="B1913"/>
  <c r="A1914"/>
  <c r="B1914"/>
  <c r="A1915"/>
  <c r="B1915"/>
  <c r="A1916"/>
  <c r="B1916"/>
  <c r="A1917"/>
  <c r="B1917"/>
  <c r="A1918"/>
  <c r="B1918"/>
  <c r="A1919"/>
  <c r="B1919"/>
  <c r="A1920"/>
  <c r="B1920"/>
  <c r="A1921"/>
  <c r="B1921"/>
  <c r="A1922"/>
  <c r="B1922"/>
  <c r="A1923"/>
  <c r="B1923"/>
  <c r="A1924"/>
  <c r="B1924"/>
  <c r="A1925"/>
  <c r="B1925"/>
  <c r="A1926"/>
  <c r="B1926"/>
  <c r="A1927"/>
  <c r="B1927"/>
  <c r="A1928"/>
  <c r="B1928"/>
  <c r="A1929"/>
  <c r="B1929"/>
  <c r="A1930"/>
  <c r="B1930"/>
  <c r="A1931"/>
  <c r="B1931"/>
  <c r="A1932"/>
  <c r="B1932"/>
  <c r="A1933"/>
  <c r="B1933"/>
  <c r="A1934"/>
  <c r="B1934"/>
  <c r="A1935"/>
  <c r="B1935"/>
  <c r="A1936"/>
  <c r="B1936"/>
  <c r="A1937"/>
  <c r="B1937"/>
  <c r="A1938"/>
  <c r="B1938"/>
  <c r="A1939"/>
  <c r="B1939"/>
  <c r="A1940"/>
  <c r="B1940"/>
  <c r="A1941"/>
  <c r="B1941"/>
  <c r="A1942"/>
  <c r="B1942"/>
  <c r="A1943"/>
  <c r="B1943"/>
  <c r="A1944"/>
  <c r="B1944"/>
  <c r="A1945"/>
  <c r="B1945"/>
  <c r="A1946"/>
  <c r="B1946"/>
  <c r="A1947"/>
  <c r="B1947"/>
  <c r="A1948"/>
  <c r="B1948"/>
  <c r="A1949"/>
  <c r="B1949"/>
  <c r="A1950"/>
  <c r="B1950"/>
  <c r="A1951"/>
  <c r="B1951"/>
  <c r="A1952"/>
  <c r="B1952"/>
  <c r="A1953"/>
  <c r="B1953"/>
  <c r="A1954"/>
  <c r="B1954"/>
  <c r="A1955"/>
  <c r="B1955"/>
  <c r="A1956"/>
  <c r="B1956"/>
  <c r="A1957"/>
  <c r="B1957"/>
  <c r="A1958"/>
  <c r="B1958"/>
  <c r="A1959"/>
  <c r="B1959"/>
  <c r="A1960"/>
  <c r="B1960"/>
  <c r="A1961"/>
  <c r="B1961"/>
  <c r="A1962"/>
  <c r="B1962"/>
  <c r="A1963"/>
  <c r="B1963"/>
  <c r="A1964"/>
  <c r="B1964"/>
  <c r="A1965"/>
  <c r="B1965"/>
  <c r="A1966"/>
  <c r="B1966"/>
  <c r="A1967"/>
  <c r="B1967"/>
  <c r="A1968"/>
  <c r="B1968"/>
  <c r="A1969"/>
  <c r="B1969"/>
  <c r="A1970"/>
  <c r="B1970"/>
  <c r="A1971"/>
  <c r="B1971"/>
  <c r="A1972"/>
  <c r="B1972"/>
  <c r="A1973"/>
  <c r="B1973"/>
  <c r="A1974"/>
  <c r="B1974"/>
  <c r="A1975"/>
  <c r="B1975"/>
  <c r="A1976"/>
  <c r="B1976"/>
  <c r="A1977"/>
  <c r="B1977"/>
  <c r="A1978"/>
  <c r="B1978"/>
  <c r="A1979"/>
  <c r="B1979"/>
  <c r="A1980"/>
  <c r="B1980"/>
  <c r="A1981"/>
  <c r="B1981"/>
  <c r="A1982"/>
  <c r="B1982"/>
  <c r="A1983"/>
  <c r="B1983"/>
  <c r="A1984"/>
  <c r="B1984"/>
  <c r="A1985"/>
  <c r="B1985"/>
  <c r="A1986"/>
  <c r="B1986"/>
  <c r="A1987"/>
  <c r="B1987"/>
  <c r="A1988"/>
  <c r="B1988"/>
  <c r="A1989"/>
  <c r="B1989"/>
  <c r="A1990"/>
  <c r="B1990"/>
  <c r="A1991"/>
  <c r="B1991"/>
  <c r="A1992"/>
  <c r="B1992"/>
  <c r="A1993"/>
  <c r="B1993"/>
  <c r="A1994"/>
  <c r="B1994"/>
  <c r="A1995"/>
  <c r="B1995"/>
  <c r="A1996"/>
  <c r="B1996"/>
  <c r="A1997"/>
  <c r="B1997"/>
  <c r="A1998"/>
  <c r="B1998"/>
  <c r="A1999"/>
  <c r="B1999"/>
  <c r="A2000"/>
  <c r="B2000"/>
  <c r="A2001"/>
  <c r="B2001"/>
  <c r="A2002"/>
  <c r="B2002"/>
  <c r="A2003"/>
  <c r="B2003"/>
  <c r="A2004"/>
  <c r="B2004"/>
  <c r="A2005"/>
  <c r="B2005"/>
  <c r="A2006"/>
  <c r="B2006"/>
  <c r="A2007"/>
  <c r="B2007"/>
  <c r="A2008"/>
  <c r="B2008"/>
  <c r="A2009"/>
  <c r="B2009"/>
  <c r="A2010"/>
  <c r="B2010"/>
  <c r="A2011"/>
  <c r="B2011"/>
  <c r="A2012"/>
  <c r="B2012"/>
  <c r="A2013"/>
  <c r="B2013"/>
  <c r="A2014"/>
  <c r="B2014"/>
  <c r="A2015"/>
  <c r="B2015"/>
  <c r="A2016"/>
  <c r="B2016"/>
  <c r="A2017"/>
  <c r="B2017"/>
  <c r="A2018"/>
  <c r="B2018"/>
  <c r="A2019"/>
  <c r="B2019"/>
  <c r="A2020"/>
  <c r="B2020"/>
  <c r="A2021"/>
  <c r="B2021"/>
  <c r="A2022"/>
  <c r="B2022"/>
  <c r="A2023"/>
  <c r="B2023"/>
  <c r="A2024"/>
  <c r="B2024"/>
  <c r="A2025"/>
  <c r="B2025"/>
  <c r="A2026"/>
  <c r="B2026"/>
  <c r="A2027"/>
  <c r="B2027"/>
  <c r="A2028"/>
  <c r="B2028"/>
  <c r="A2029"/>
  <c r="B2029"/>
  <c r="A2030"/>
  <c r="B2030"/>
  <c r="A2031"/>
  <c r="B2031"/>
  <c r="A2032"/>
  <c r="B2032"/>
  <c r="A2033"/>
  <c r="B2033"/>
  <c r="A2034"/>
  <c r="B2034"/>
  <c r="A2035"/>
  <c r="B2035"/>
  <c r="A2036"/>
  <c r="B2036"/>
  <c r="A2037"/>
  <c r="B2037"/>
  <c r="A2038"/>
  <c r="B2038"/>
  <c r="A2039"/>
  <c r="B2039"/>
  <c r="A2040"/>
  <c r="B2040"/>
  <c r="A2041"/>
  <c r="B2041"/>
  <c r="A2042"/>
  <c r="B2042"/>
  <c r="A2043"/>
  <c r="B2043"/>
  <c r="A2044"/>
  <c r="B2044"/>
  <c r="A2045"/>
  <c r="B2045"/>
  <c r="A2046"/>
  <c r="B2046"/>
  <c r="A2047"/>
  <c r="B2047"/>
  <c r="A2048"/>
  <c r="B2048"/>
  <c r="A2049"/>
  <c r="B2049"/>
  <c r="A2050"/>
  <c r="B2050"/>
  <c r="A2051"/>
  <c r="B2051"/>
  <c r="A2052"/>
  <c r="B2052"/>
  <c r="A2053"/>
  <c r="B2053"/>
  <c r="A2054"/>
  <c r="B2054"/>
  <c r="A2055"/>
  <c r="B2055"/>
  <c r="A2056"/>
  <c r="B2056"/>
  <c r="A2057"/>
  <c r="B2057"/>
  <c r="A2058"/>
  <c r="B2058"/>
  <c r="A2059"/>
  <c r="B2059"/>
  <c r="A2060"/>
  <c r="B2060"/>
  <c r="A2061"/>
  <c r="B2061"/>
  <c r="A2062"/>
  <c r="B2062"/>
  <c r="A2063"/>
  <c r="B2063"/>
  <c r="A2064"/>
  <c r="B2064"/>
  <c r="A2065"/>
  <c r="B2065"/>
  <c r="A2066"/>
  <c r="B2066"/>
  <c r="A2067"/>
  <c r="B2067"/>
  <c r="A2068"/>
  <c r="B2068"/>
  <c r="A2069"/>
  <c r="B2069"/>
  <c r="A2070"/>
  <c r="B2070"/>
  <c r="A2071"/>
  <c r="B2071"/>
  <c r="A2072"/>
  <c r="B2072"/>
  <c r="A2073"/>
  <c r="B2073"/>
  <c r="A2074"/>
  <c r="B2074"/>
  <c r="A2075"/>
  <c r="B2075"/>
  <c r="A2076"/>
  <c r="B2076"/>
  <c r="A2077"/>
  <c r="B2077"/>
  <c r="A2078"/>
  <c r="B2078"/>
  <c r="A2079"/>
  <c r="B2079"/>
  <c r="A2080"/>
  <c r="B2080"/>
  <c r="A2081"/>
  <c r="B2081"/>
  <c r="A2082"/>
  <c r="B2082"/>
  <c r="A2083"/>
  <c r="B2083"/>
  <c r="A2084"/>
  <c r="B2084"/>
  <c r="A2085"/>
  <c r="B2085"/>
  <c r="A2086"/>
  <c r="B2086"/>
  <c r="A2087"/>
  <c r="B2087"/>
  <c r="A2088"/>
  <c r="B2088"/>
  <c r="A2089"/>
  <c r="B2089"/>
  <c r="A2090"/>
  <c r="B2090"/>
  <c r="A2091"/>
  <c r="B2091"/>
  <c r="A2092"/>
  <c r="B2092"/>
  <c r="A2093"/>
  <c r="B2093"/>
  <c r="A2094"/>
  <c r="B2094"/>
  <c r="A2095"/>
  <c r="B2095"/>
  <c r="A2096"/>
  <c r="B2096"/>
  <c r="A2097"/>
  <c r="B2097"/>
  <c r="A2098"/>
  <c r="B2098"/>
  <c r="A2099"/>
  <c r="B2099"/>
  <c r="A2100"/>
  <c r="B2100"/>
  <c r="A2101"/>
  <c r="B2101"/>
  <c r="A2102"/>
  <c r="B2102"/>
  <c r="A2103"/>
  <c r="B2103"/>
  <c r="A2104"/>
  <c r="B2104"/>
  <c r="A2105"/>
  <c r="B2105"/>
  <c r="A2106"/>
  <c r="B2106"/>
  <c r="A2107"/>
  <c r="B2107"/>
  <c r="A2108"/>
  <c r="B2108"/>
  <c r="A2109"/>
  <c r="B2109"/>
  <c r="A2110"/>
  <c r="B2110"/>
  <c r="A2111"/>
  <c r="B2111"/>
  <c r="A2112"/>
  <c r="B2112"/>
  <c r="A2113"/>
  <c r="B2113"/>
  <c r="A2114"/>
  <c r="B2114"/>
  <c r="A2115"/>
  <c r="B2115"/>
  <c r="A2116"/>
  <c r="B2116"/>
  <c r="A2117"/>
  <c r="B2117"/>
  <c r="A2118"/>
  <c r="B2118"/>
  <c r="A2119"/>
  <c r="B2119"/>
  <c r="A2120"/>
  <c r="B2120"/>
  <c r="A2121"/>
  <c r="B2121"/>
  <c r="A2122"/>
  <c r="B2122"/>
  <c r="A2123"/>
  <c r="B2123"/>
  <c r="A2124"/>
  <c r="B2124"/>
  <c r="A2125"/>
  <c r="B2125"/>
  <c r="A2126"/>
  <c r="B2126"/>
  <c r="A2127"/>
  <c r="B2127"/>
  <c r="A2128"/>
  <c r="B2128"/>
  <c r="A2129"/>
  <c r="B2129"/>
  <c r="A2130"/>
  <c r="B2130"/>
  <c r="A2131"/>
  <c r="B2131"/>
  <c r="A2132"/>
  <c r="B2132"/>
  <c r="A2133"/>
  <c r="B2133"/>
  <c r="A2134"/>
  <c r="B2134"/>
  <c r="A2135"/>
  <c r="B2135"/>
  <c r="A2136"/>
  <c r="B2136"/>
  <c r="A2137"/>
  <c r="B2137"/>
  <c r="A2138"/>
  <c r="B2138"/>
  <c r="A2139"/>
  <c r="B2139"/>
  <c r="A2140"/>
  <c r="B2140"/>
  <c r="A2141"/>
  <c r="B2141"/>
  <c r="A2142"/>
  <c r="B2142"/>
  <c r="A2143"/>
  <c r="B2143"/>
  <c r="A2144"/>
  <c r="B2144"/>
  <c r="A2145"/>
  <c r="B2145"/>
  <c r="A2146"/>
  <c r="B2146"/>
  <c r="A2147"/>
  <c r="B2147"/>
  <c r="A2148"/>
  <c r="B2148"/>
  <c r="A2149"/>
  <c r="B2149"/>
  <c r="A2150"/>
  <c r="B2150"/>
  <c r="A2151"/>
  <c r="B2151"/>
  <c r="A2152"/>
  <c r="B2152"/>
  <c r="A2153"/>
  <c r="B2153"/>
  <c r="A2154"/>
  <c r="B2154"/>
  <c r="A2155"/>
  <c r="B2155"/>
  <c r="A2156"/>
  <c r="B2156"/>
  <c r="A2157"/>
  <c r="B2157"/>
  <c r="A2158"/>
  <c r="B2158"/>
  <c r="A2159"/>
  <c r="B2159"/>
  <c r="A2160"/>
  <c r="B2160"/>
  <c r="A2161"/>
  <c r="B2161"/>
  <c r="A2162"/>
  <c r="B2162"/>
  <c r="A2163"/>
  <c r="B2163"/>
  <c r="A2164"/>
  <c r="B2164"/>
  <c r="A2165"/>
  <c r="B2165"/>
  <c r="A2166"/>
  <c r="B2166"/>
  <c r="A2167"/>
  <c r="B2167"/>
  <c r="A2168"/>
  <c r="B2168"/>
  <c r="A2169"/>
  <c r="B2169"/>
  <c r="A2170"/>
  <c r="B2170"/>
  <c r="A2171"/>
  <c r="B2171"/>
  <c r="A2172"/>
  <c r="B2172"/>
  <c r="A2173"/>
  <c r="B2173"/>
  <c r="A2174"/>
  <c r="B2174"/>
  <c r="A2175"/>
  <c r="B2175"/>
  <c r="A2176"/>
  <c r="B2176"/>
  <c r="A2177"/>
  <c r="B2177"/>
  <c r="A2178"/>
  <c r="B2178"/>
  <c r="A2179"/>
  <c r="B2179"/>
  <c r="A2180"/>
  <c r="B2180"/>
  <c r="A2181"/>
  <c r="B2181"/>
  <c r="A2182"/>
  <c r="B2182"/>
  <c r="A2183"/>
  <c r="B2183"/>
  <c r="A2184"/>
  <c r="B2184"/>
  <c r="A2185"/>
  <c r="B2185"/>
  <c r="A2186"/>
  <c r="B2186"/>
  <c r="A2187"/>
  <c r="B2187"/>
  <c r="A2188"/>
  <c r="B2188"/>
  <c r="A2189"/>
  <c r="B2189"/>
  <c r="A2190"/>
  <c r="B2190"/>
  <c r="A2191"/>
  <c r="B2191"/>
  <c r="A2192"/>
  <c r="B2192"/>
  <c r="A2193"/>
  <c r="B2193"/>
  <c r="A2194"/>
  <c r="B2194"/>
  <c r="A2195"/>
  <c r="B2195"/>
  <c r="A2196"/>
  <c r="B2196"/>
  <c r="A2197"/>
  <c r="B2197"/>
  <c r="A2198"/>
  <c r="B2198"/>
  <c r="A2199"/>
  <c r="B2199"/>
  <c r="A2200"/>
  <c r="B2200"/>
  <c r="A2201"/>
  <c r="B2201"/>
  <c r="A2202"/>
  <c r="B2202"/>
  <c r="A2203"/>
  <c r="B2203"/>
  <c r="A2204"/>
  <c r="B2204"/>
  <c r="A2205"/>
  <c r="B2205"/>
  <c r="A2206"/>
  <c r="B2206"/>
  <c r="A2207"/>
  <c r="B2207"/>
  <c r="A2208"/>
  <c r="B2208"/>
  <c r="A2209"/>
  <c r="B2209"/>
  <c r="A2210"/>
  <c r="B2210"/>
  <c r="A2211"/>
  <c r="B2211"/>
  <c r="A2212"/>
  <c r="B2212"/>
  <c r="A2213"/>
  <c r="B2213"/>
  <c r="A2214"/>
  <c r="B2214"/>
  <c r="A2215"/>
  <c r="B2215"/>
  <c r="A2216"/>
  <c r="B2216"/>
  <c r="A2217"/>
  <c r="B2217"/>
  <c r="A2218"/>
  <c r="B2218"/>
  <c r="A2219"/>
  <c r="B2219"/>
  <c r="A2220"/>
  <c r="B2220"/>
  <c r="A2221"/>
  <c r="B2221"/>
  <c r="A2222"/>
  <c r="B2222"/>
  <c r="A2223"/>
  <c r="B2223"/>
  <c r="A2224"/>
  <c r="B2224"/>
  <c r="A2225"/>
  <c r="B2225"/>
  <c r="A2226"/>
  <c r="B2226"/>
  <c r="A2227"/>
  <c r="B2227"/>
  <c r="A2228"/>
  <c r="B2228"/>
  <c r="A2229"/>
  <c r="B2229"/>
  <c r="A2230"/>
  <c r="B2230"/>
  <c r="A2231"/>
  <c r="B2231"/>
  <c r="A2232"/>
  <c r="B2232"/>
  <c r="A2233"/>
  <c r="B2233"/>
  <c r="A2234"/>
  <c r="B2234"/>
  <c r="A2235"/>
  <c r="B2235"/>
  <c r="A2236"/>
  <c r="B2236"/>
  <c r="A2237"/>
  <c r="B2237"/>
  <c r="A2238"/>
  <c r="B2238"/>
  <c r="A2239"/>
  <c r="B2239"/>
  <c r="A2240"/>
  <c r="B2240"/>
  <c r="A2241"/>
  <c r="B2241"/>
  <c r="A2242"/>
  <c r="B2242"/>
  <c r="A2243"/>
  <c r="B2243"/>
  <c r="A2244"/>
  <c r="B2244"/>
  <c r="A2245"/>
  <c r="B2245"/>
  <c r="A2246"/>
  <c r="B2246"/>
  <c r="A2247"/>
  <c r="B2247"/>
  <c r="A2248"/>
  <c r="B2248"/>
  <c r="A2249"/>
  <c r="B2249"/>
  <c r="A2250"/>
  <c r="B2250"/>
  <c r="A2251"/>
  <c r="B2251"/>
  <c r="A2252"/>
  <c r="B2252"/>
  <c r="A2253"/>
  <c r="B2253"/>
  <c r="A2254"/>
  <c r="B2254"/>
  <c r="A2255"/>
  <c r="B2255"/>
  <c r="A2256"/>
  <c r="B2256"/>
  <c r="A2257"/>
  <c r="B2257"/>
  <c r="A2258"/>
  <c r="B2258"/>
  <c r="A2259"/>
  <c r="B2259"/>
  <c r="A2260"/>
  <c r="B2260"/>
  <c r="A2261"/>
  <c r="B2261"/>
  <c r="A2262"/>
  <c r="B2262"/>
  <c r="A2263"/>
  <c r="B2263"/>
  <c r="A2264"/>
  <c r="B2264"/>
  <c r="A2265"/>
  <c r="B2265"/>
  <c r="A2266"/>
  <c r="B2266"/>
  <c r="A2267"/>
  <c r="B2267"/>
  <c r="A2268"/>
  <c r="B2268"/>
  <c r="A2269"/>
  <c r="B2269"/>
  <c r="A2270"/>
  <c r="B2270"/>
  <c r="A2271"/>
  <c r="B2271"/>
  <c r="A2272"/>
  <c r="B2272"/>
  <c r="A2273"/>
  <c r="B2273"/>
  <c r="A2274"/>
  <c r="B2274"/>
  <c r="A2275"/>
  <c r="B2275"/>
  <c r="A2276"/>
  <c r="B2276"/>
  <c r="A2277"/>
  <c r="B2277"/>
  <c r="A2278"/>
  <c r="B2278"/>
  <c r="A2279"/>
  <c r="B2279"/>
  <c r="A2280"/>
  <c r="B2280"/>
  <c r="A2281"/>
  <c r="B2281"/>
  <c r="A2282"/>
  <c r="B2282"/>
  <c r="A2283"/>
  <c r="B2283"/>
  <c r="A2284"/>
  <c r="B2284"/>
  <c r="A2285"/>
  <c r="B2285"/>
  <c r="A2286"/>
  <c r="B2286"/>
  <c r="A2287"/>
  <c r="B2287"/>
  <c r="A2288"/>
  <c r="B2288"/>
  <c r="A2289"/>
  <c r="B2289"/>
  <c r="A2290"/>
  <c r="B2290"/>
  <c r="A2291"/>
  <c r="B2291"/>
  <c r="A2292"/>
  <c r="B2292"/>
  <c r="A2293"/>
  <c r="B2293"/>
  <c r="A2294"/>
  <c r="B2294"/>
  <c r="A2295"/>
  <c r="B2295"/>
  <c r="A2296"/>
  <c r="B2296"/>
  <c r="A2297"/>
  <c r="B2297"/>
  <c r="A2298"/>
  <c r="B2298"/>
  <c r="A2299"/>
  <c r="B2299"/>
  <c r="A2300"/>
  <c r="B2300"/>
  <c r="A2301"/>
  <c r="B2301"/>
  <c r="A2302"/>
  <c r="B2302"/>
  <c r="A2303"/>
  <c r="B2303"/>
  <c r="A2304"/>
  <c r="B2304"/>
  <c r="A2305"/>
  <c r="B2305"/>
  <c r="A2306"/>
  <c r="B2306"/>
  <c r="A2307"/>
  <c r="B2307"/>
  <c r="A2308"/>
  <c r="B2308"/>
  <c r="A2309"/>
  <c r="B2309"/>
  <c r="A2310"/>
  <c r="B2310"/>
  <c r="A2311"/>
  <c r="B2311"/>
  <c r="A2312"/>
  <c r="B2312"/>
  <c r="A2313"/>
  <c r="B2313"/>
  <c r="A2314"/>
  <c r="B2314"/>
  <c r="A2315"/>
  <c r="B2315"/>
  <c r="A2316"/>
  <c r="B2316"/>
  <c r="A2317"/>
  <c r="B2317"/>
  <c r="A2318"/>
  <c r="B2318"/>
  <c r="A2319"/>
  <c r="B2319"/>
  <c r="A2320"/>
  <c r="B2320"/>
  <c r="A2321"/>
  <c r="B2321"/>
  <c r="A2322"/>
  <c r="B2322"/>
  <c r="A2323"/>
  <c r="B2323"/>
  <c r="A2324"/>
  <c r="B2324"/>
  <c r="A2325"/>
  <c r="B2325"/>
  <c r="A2326"/>
  <c r="B2326"/>
  <c r="A2327"/>
  <c r="B2327"/>
  <c r="A2328"/>
  <c r="B2328"/>
  <c r="A2329"/>
  <c r="B2329"/>
  <c r="A2330"/>
  <c r="B2330"/>
  <c r="A2331"/>
  <c r="B2331"/>
  <c r="A2332"/>
  <c r="B2332"/>
  <c r="A2333"/>
  <c r="B2333"/>
  <c r="A2334"/>
  <c r="B2334"/>
  <c r="A2335"/>
  <c r="B2335"/>
  <c r="A2336"/>
  <c r="B2336"/>
  <c r="A2337"/>
  <c r="B2337"/>
  <c r="A2338"/>
  <c r="B2338"/>
  <c r="A2339"/>
  <c r="B2339"/>
  <c r="A2340"/>
  <c r="B2340"/>
  <c r="A2341"/>
  <c r="B2341"/>
  <c r="A2342"/>
  <c r="B2342"/>
  <c r="A2343"/>
  <c r="B2343"/>
  <c r="A2344"/>
  <c r="B2344"/>
  <c r="A2345"/>
  <c r="B2345"/>
  <c r="A2346"/>
  <c r="B2346"/>
  <c r="A2347"/>
  <c r="B2347"/>
  <c r="A2348"/>
  <c r="B2348"/>
  <c r="A2349"/>
  <c r="B2349"/>
  <c r="A2350"/>
  <c r="B2350"/>
  <c r="A2351"/>
  <c r="B2351"/>
  <c r="A2352"/>
  <c r="B2352"/>
  <c r="A2353"/>
  <c r="B2353"/>
  <c r="A2354"/>
  <c r="B2354"/>
  <c r="A2355"/>
  <c r="B2355"/>
  <c r="A2356"/>
  <c r="B2356"/>
  <c r="A2357"/>
  <c r="B2357"/>
  <c r="A2358"/>
  <c r="B2358"/>
  <c r="A2359"/>
  <c r="B2359"/>
  <c r="A2360"/>
  <c r="B2360"/>
  <c r="A2361"/>
  <c r="B2361"/>
  <c r="A2362"/>
  <c r="B2362"/>
  <c r="A2363"/>
  <c r="B2363"/>
  <c r="A2364"/>
  <c r="B2364"/>
  <c r="A2365"/>
  <c r="B2365"/>
  <c r="A2366"/>
  <c r="B2366"/>
  <c r="A2367"/>
  <c r="B2367"/>
  <c r="A2368"/>
  <c r="B2368"/>
  <c r="A2369"/>
  <c r="B2369"/>
  <c r="A2370"/>
  <c r="B2370"/>
  <c r="A2371"/>
  <c r="B2371"/>
  <c r="A2372"/>
  <c r="B2372"/>
  <c r="A2373"/>
  <c r="B2373"/>
  <c r="A2374"/>
  <c r="B2374"/>
  <c r="A2375"/>
  <c r="B2375"/>
  <c r="A2376"/>
  <c r="B2376"/>
  <c r="A2377"/>
  <c r="B2377"/>
  <c r="A2378"/>
  <c r="B2378"/>
  <c r="A2379"/>
  <c r="B2379"/>
  <c r="A2380"/>
  <c r="B2380"/>
  <c r="A2381"/>
  <c r="B2381"/>
  <c r="A2382"/>
  <c r="B2382"/>
  <c r="A2383"/>
  <c r="B2383"/>
  <c r="A2384"/>
  <c r="B2384"/>
  <c r="A2385"/>
  <c r="B2385"/>
  <c r="A2386"/>
  <c r="B2386"/>
  <c r="A2387"/>
  <c r="B2387"/>
  <c r="A2388"/>
  <c r="B2388"/>
  <c r="A2389"/>
  <c r="B2389"/>
  <c r="A2390"/>
  <c r="B2390"/>
  <c r="A2391"/>
  <c r="B2391"/>
  <c r="A2392"/>
  <c r="B2392"/>
  <c r="A2393"/>
  <c r="B2393"/>
  <c r="A2394"/>
  <c r="B2394"/>
  <c r="A2395"/>
  <c r="B2395"/>
  <c r="A2396"/>
  <c r="B2396"/>
  <c r="A2397"/>
  <c r="B2397"/>
  <c r="A2398"/>
  <c r="B2398"/>
  <c r="A2399"/>
  <c r="B2399"/>
  <c r="A2400"/>
  <c r="B2400"/>
  <c r="A2401"/>
  <c r="B2401"/>
  <c r="A2402"/>
  <c r="B2402"/>
  <c r="A2403"/>
  <c r="B2403"/>
  <c r="A2404"/>
  <c r="B2404"/>
  <c r="A2405"/>
  <c r="B2405"/>
  <c r="A2406"/>
  <c r="B2406"/>
  <c r="A2407"/>
  <c r="B2407"/>
  <c r="A2408"/>
  <c r="B2408"/>
  <c r="A2409"/>
  <c r="B2409"/>
  <c r="A2410"/>
  <c r="B2410"/>
  <c r="A2411"/>
  <c r="B2411"/>
  <c r="A2412"/>
  <c r="B2412"/>
  <c r="A2413"/>
  <c r="B2413"/>
  <c r="A2414"/>
  <c r="B2414"/>
  <c r="A2415"/>
  <c r="B2415"/>
  <c r="A2416"/>
  <c r="B2416"/>
  <c r="A2417"/>
  <c r="B2417"/>
  <c r="A2418"/>
  <c r="B2418"/>
  <c r="A2419"/>
  <c r="B2419"/>
  <c r="A2420"/>
  <c r="B2420"/>
  <c r="A2421"/>
  <c r="B2421"/>
  <c r="A2422"/>
  <c r="B2422"/>
  <c r="A2423"/>
  <c r="B2423"/>
  <c r="A2424"/>
  <c r="B2424"/>
  <c r="A2425"/>
  <c r="B2425"/>
  <c r="A2426"/>
  <c r="B2426"/>
  <c r="A2427"/>
  <c r="B2427"/>
  <c r="A2428"/>
  <c r="B2428"/>
  <c r="A2429"/>
  <c r="B2429"/>
  <c r="A2430"/>
  <c r="B2430"/>
  <c r="A2431"/>
  <c r="B2431"/>
  <c r="A2432"/>
  <c r="B2432"/>
  <c r="A2433"/>
  <c r="B2433"/>
  <c r="A2434"/>
  <c r="B2434"/>
  <c r="A2435"/>
  <c r="B2435"/>
  <c r="A2436"/>
  <c r="B2436"/>
  <c r="A2437"/>
  <c r="B2437"/>
  <c r="A2438"/>
  <c r="B2438"/>
  <c r="A2439"/>
  <c r="B2439"/>
  <c r="A2440"/>
  <c r="B2440"/>
  <c r="A2441"/>
  <c r="B2441"/>
  <c r="A2442"/>
  <c r="B2442"/>
  <c r="A2443"/>
  <c r="B2443"/>
  <c r="A2444"/>
  <c r="B2444"/>
  <c r="A2445"/>
  <c r="B2445"/>
  <c r="A2446"/>
  <c r="B2446"/>
  <c r="A2447"/>
  <c r="B2447"/>
  <c r="A2448"/>
  <c r="B2448"/>
  <c r="A2449"/>
  <c r="B2449"/>
  <c r="A2450"/>
  <c r="B2450"/>
  <c r="A2451"/>
  <c r="B2451"/>
  <c r="A2452"/>
  <c r="B2452"/>
  <c r="A2453"/>
  <c r="B2453"/>
  <c r="A2454"/>
  <c r="B2454"/>
  <c r="A2455"/>
  <c r="B2455"/>
  <c r="A2456"/>
  <c r="B2456"/>
  <c r="A2457"/>
  <c r="B2457"/>
  <c r="A2458"/>
  <c r="B2458"/>
  <c r="A2459"/>
  <c r="B2459"/>
  <c r="A2460"/>
  <c r="B2460"/>
  <c r="A2461"/>
  <c r="B2461"/>
  <c r="A2462"/>
  <c r="B2462"/>
  <c r="A2463"/>
  <c r="B2463"/>
  <c r="A2464"/>
  <c r="B2464"/>
  <c r="A2465"/>
  <c r="B2465"/>
  <c r="A2466"/>
  <c r="B2466"/>
  <c r="A2467"/>
  <c r="B2467"/>
  <c r="A2468"/>
  <c r="B2468"/>
  <c r="A2469"/>
  <c r="B2469"/>
  <c r="A2470"/>
  <c r="B2470"/>
  <c r="A2471"/>
  <c r="B2471"/>
  <c r="A2472"/>
  <c r="B2472"/>
  <c r="A2473"/>
  <c r="B2473"/>
  <c r="A2474"/>
  <c r="B2474"/>
  <c r="A2475"/>
  <c r="B2475"/>
  <c r="A2476"/>
  <c r="B2476"/>
  <c r="A2477"/>
  <c r="B2477"/>
  <c r="A2478"/>
  <c r="B2478"/>
  <c r="A2479"/>
  <c r="B2479"/>
  <c r="A2480"/>
  <c r="B2480"/>
  <c r="A2481"/>
  <c r="B2481"/>
  <c r="A2482"/>
  <c r="B2482"/>
  <c r="A2483"/>
  <c r="B2483"/>
  <c r="A2484"/>
  <c r="B2484"/>
  <c r="A2485"/>
  <c r="B2485"/>
  <c r="A2486"/>
  <c r="B2486"/>
  <c r="A2487"/>
  <c r="B2487"/>
  <c r="A2488"/>
  <c r="B2488"/>
  <c r="A2489"/>
  <c r="B2489"/>
  <c r="A2490"/>
  <c r="B2490"/>
  <c r="A2491"/>
  <c r="B2491"/>
  <c r="A2492"/>
  <c r="B2492"/>
  <c r="A2493"/>
  <c r="B2493"/>
  <c r="A2494"/>
  <c r="B2494"/>
  <c r="A2495"/>
  <c r="B2495"/>
  <c r="A2496"/>
  <c r="B2496"/>
  <c r="A2497"/>
  <c r="B2497"/>
  <c r="A2498"/>
  <c r="B2498"/>
  <c r="A2499"/>
  <c r="B2499"/>
  <c r="A2500"/>
  <c r="B2500"/>
  <c r="A2501"/>
  <c r="B2501"/>
  <c r="A2502"/>
  <c r="B2502"/>
  <c r="A2503"/>
  <c r="B2503"/>
  <c r="A2504"/>
  <c r="B2504"/>
  <c r="A2505"/>
  <c r="B2505"/>
  <c r="A2506"/>
  <c r="B2506"/>
  <c r="A2507"/>
  <c r="B2507"/>
  <c r="A2508"/>
  <c r="B2508"/>
  <c r="A2509"/>
  <c r="B2509"/>
  <c r="A2510"/>
  <c r="B2510"/>
  <c r="A2511"/>
  <c r="B2511"/>
  <c r="A2512"/>
  <c r="B2512"/>
  <c r="A2513"/>
  <c r="B2513"/>
  <c r="A2514"/>
  <c r="B2514"/>
  <c r="A2515"/>
  <c r="B2515"/>
  <c r="A2516"/>
  <c r="B2516"/>
  <c r="A2517"/>
  <c r="B2517"/>
  <c r="A2518"/>
  <c r="B2518"/>
  <c r="A2519"/>
  <c r="B2519"/>
  <c r="A2520"/>
  <c r="B2520"/>
  <c r="A2521"/>
  <c r="B2521"/>
  <c r="A2522"/>
  <c r="B2522"/>
  <c r="A2523"/>
  <c r="B2523"/>
  <c r="A2524"/>
  <c r="B2524"/>
  <c r="A2525"/>
  <c r="B2525"/>
  <c r="A2526"/>
  <c r="B2526"/>
  <c r="A2527"/>
  <c r="B2527"/>
  <c r="A2528"/>
  <c r="B2528"/>
  <c r="A2529"/>
  <c r="B2529"/>
  <c r="A2530"/>
  <c r="B2530"/>
  <c r="A2531"/>
  <c r="B2531"/>
  <c r="A2532"/>
  <c r="B2532"/>
  <c r="A2533"/>
  <c r="B2533"/>
  <c r="A2534"/>
  <c r="B2534"/>
  <c r="A2535"/>
  <c r="B2535"/>
  <c r="A2536"/>
  <c r="B2536"/>
  <c r="A2537"/>
  <c r="B2537"/>
  <c r="A2538"/>
  <c r="B2538"/>
  <c r="A2539"/>
  <c r="B2539"/>
  <c r="A2540"/>
  <c r="B2540"/>
  <c r="A2541"/>
  <c r="B2541"/>
  <c r="A2542"/>
  <c r="B2542"/>
  <c r="A2543"/>
  <c r="B2543"/>
  <c r="A2544"/>
  <c r="B2544"/>
  <c r="A2545"/>
  <c r="B2545"/>
  <c r="A2546"/>
  <c r="B2546"/>
  <c r="A2547"/>
  <c r="B2547"/>
  <c r="A2548"/>
  <c r="B2548"/>
  <c r="A2549"/>
  <c r="B2549"/>
  <c r="A2550"/>
  <c r="B2550"/>
  <c r="A2551"/>
  <c r="B2551"/>
  <c r="A2552"/>
  <c r="B2552"/>
  <c r="A2553"/>
  <c r="B2553"/>
  <c r="A2554"/>
  <c r="B2554"/>
  <c r="A2555"/>
  <c r="B2555"/>
  <c r="A2556"/>
  <c r="B2556"/>
  <c r="A2557"/>
  <c r="B2557"/>
  <c r="A2558"/>
  <c r="B2558"/>
  <c r="A2559"/>
  <c r="B2559"/>
  <c r="A2560"/>
  <c r="B2560"/>
  <c r="A2561"/>
  <c r="B2561"/>
  <c r="A2562"/>
  <c r="B2562"/>
  <c r="A2563"/>
  <c r="B2563"/>
  <c r="A2564"/>
  <c r="B2564"/>
  <c r="A2565"/>
  <c r="B2565"/>
  <c r="A2566"/>
  <c r="B2566"/>
  <c r="A2567"/>
  <c r="B2567"/>
  <c r="A2568"/>
  <c r="B2568"/>
  <c r="A2569"/>
  <c r="B2569"/>
  <c r="A2570"/>
  <c r="B2570"/>
  <c r="A2571"/>
  <c r="B2571"/>
  <c r="A2572"/>
  <c r="B2572"/>
  <c r="A2573"/>
  <c r="B2573"/>
  <c r="A2574"/>
  <c r="B2574"/>
  <c r="A2575"/>
  <c r="B2575"/>
  <c r="A2576"/>
  <c r="B2576"/>
  <c r="A2577"/>
  <c r="B2577"/>
  <c r="A2578"/>
  <c r="B2578"/>
  <c r="A2579"/>
  <c r="B2579"/>
  <c r="A2580"/>
  <c r="B2580"/>
  <c r="A2581"/>
  <c r="B2581"/>
  <c r="A2582"/>
  <c r="B2582"/>
  <c r="A2583"/>
  <c r="B2583"/>
  <c r="A2584"/>
  <c r="B2584"/>
  <c r="A2585"/>
  <c r="B2585"/>
  <c r="A2586"/>
  <c r="B2586"/>
  <c r="A2587"/>
  <c r="B2587"/>
  <c r="A2588"/>
  <c r="B2588"/>
  <c r="A2589"/>
  <c r="B2589"/>
  <c r="A2590"/>
  <c r="B2590"/>
  <c r="A2591"/>
  <c r="B2591"/>
  <c r="A2592"/>
  <c r="B2592"/>
  <c r="A2593"/>
  <c r="B2593"/>
  <c r="A2594"/>
  <c r="B2594"/>
  <c r="A2595"/>
  <c r="B2595"/>
  <c r="A2596"/>
  <c r="B2596"/>
  <c r="A2597"/>
  <c r="B2597"/>
  <c r="A2598"/>
  <c r="B2598"/>
  <c r="A2599"/>
  <c r="B2599"/>
  <c r="A2600"/>
  <c r="B2600"/>
  <c r="A2601"/>
  <c r="B2601"/>
  <c r="A2602"/>
  <c r="B2602"/>
  <c r="A2603"/>
  <c r="B2603"/>
  <c r="A2604"/>
  <c r="B2604"/>
  <c r="A2605"/>
  <c r="B2605"/>
  <c r="A2606"/>
  <c r="B2606"/>
  <c r="A2607"/>
  <c r="B2607"/>
  <c r="A2608"/>
  <c r="B2608"/>
  <c r="A2609"/>
  <c r="B2609"/>
  <c r="A2610"/>
  <c r="B2610"/>
  <c r="A2611"/>
  <c r="B2611"/>
  <c r="A2612"/>
  <c r="B2612"/>
  <c r="A2613"/>
  <c r="B2613"/>
  <c r="A2614"/>
  <c r="B2614"/>
  <c r="A2615"/>
  <c r="B2615"/>
  <c r="A2616"/>
  <c r="B2616"/>
  <c r="A2617"/>
  <c r="B2617"/>
  <c r="A2618"/>
  <c r="B2618"/>
  <c r="A2619"/>
  <c r="B2619"/>
  <c r="A2620"/>
  <c r="B2620"/>
  <c r="A2621"/>
  <c r="B2621"/>
  <c r="A2622"/>
  <c r="B2622"/>
  <c r="A2623"/>
  <c r="B2623"/>
  <c r="A2624"/>
  <c r="B2624"/>
  <c r="A2625"/>
  <c r="B2625"/>
  <c r="A2626"/>
  <c r="B2626"/>
  <c r="A2627"/>
  <c r="B2627"/>
  <c r="A2628"/>
  <c r="B2628"/>
  <c r="A2629"/>
  <c r="B2629"/>
  <c r="A2630"/>
  <c r="B2630"/>
  <c r="A2631"/>
  <c r="B2631"/>
  <c r="A2632"/>
  <c r="B2632"/>
  <c r="A2633"/>
  <c r="B2633"/>
  <c r="A2634"/>
  <c r="B2634"/>
  <c r="A2635"/>
  <c r="B2635"/>
  <c r="A2636"/>
  <c r="B2636"/>
  <c r="A2637"/>
  <c r="B2637"/>
  <c r="A2638"/>
  <c r="B2638"/>
  <c r="A2639"/>
  <c r="B2639"/>
  <c r="A2640"/>
  <c r="B2640"/>
  <c r="A2641"/>
  <c r="B2641"/>
  <c r="A2642"/>
  <c r="B2642"/>
  <c r="A2643"/>
  <c r="B2643"/>
  <c r="A2644"/>
  <c r="B2644"/>
  <c r="A2645"/>
  <c r="B2645"/>
  <c r="A2646"/>
  <c r="B2646"/>
  <c r="A2647"/>
  <c r="B2647"/>
  <c r="A2648"/>
  <c r="B2648"/>
  <c r="A2649"/>
  <c r="B2649"/>
  <c r="A2650"/>
  <c r="B2650"/>
  <c r="A2651"/>
  <c r="B2651"/>
  <c r="A2652"/>
  <c r="B2652"/>
  <c r="A2653"/>
  <c r="B2653"/>
  <c r="A2654"/>
  <c r="B2654"/>
  <c r="A2655"/>
  <c r="B2655"/>
  <c r="A2656"/>
  <c r="B2656"/>
  <c r="A2657"/>
  <c r="B2657"/>
  <c r="A2658"/>
  <c r="B2658"/>
  <c r="A2659"/>
  <c r="B2659"/>
  <c r="A2660"/>
  <c r="B2660"/>
  <c r="A2661"/>
  <c r="B2661"/>
  <c r="A2662"/>
  <c r="B2662"/>
  <c r="A2663"/>
  <c r="B2663"/>
  <c r="A2664"/>
  <c r="B2664"/>
  <c r="A2665"/>
  <c r="B2665"/>
  <c r="A2666"/>
  <c r="B2666"/>
  <c r="A2667"/>
  <c r="B2667"/>
  <c r="A2668"/>
  <c r="B2668"/>
  <c r="A2669"/>
  <c r="B2669"/>
  <c r="A2670"/>
  <c r="B2670"/>
  <c r="A2671"/>
  <c r="B2671"/>
  <c r="A2672"/>
  <c r="B2672"/>
  <c r="A2673"/>
  <c r="B2673"/>
  <c r="A2674"/>
  <c r="B2674"/>
  <c r="A2675"/>
  <c r="B2675"/>
  <c r="A2676"/>
  <c r="B2676"/>
  <c r="A2677"/>
  <c r="B2677"/>
  <c r="A2678"/>
  <c r="B2678"/>
  <c r="A2679"/>
  <c r="B2679"/>
  <c r="A2680"/>
  <c r="B2680"/>
  <c r="A2681"/>
  <c r="B2681"/>
  <c r="A2682"/>
  <c r="B2682"/>
  <c r="A2683"/>
  <c r="B2683"/>
  <c r="A2684"/>
  <c r="B2684"/>
  <c r="A2685"/>
  <c r="B2685"/>
  <c r="A2686"/>
  <c r="B2686"/>
  <c r="A2687"/>
  <c r="B2687"/>
  <c r="A2688"/>
  <c r="B2688"/>
  <c r="A2689"/>
  <c r="B2689"/>
  <c r="A2690"/>
  <c r="B2690"/>
  <c r="A2691"/>
  <c r="B2691"/>
  <c r="A2692"/>
  <c r="B2692"/>
  <c r="A2693"/>
  <c r="B2693"/>
  <c r="A2694"/>
  <c r="B2694"/>
  <c r="A2695"/>
  <c r="B2695"/>
  <c r="A2696"/>
  <c r="B2696"/>
  <c r="A2697"/>
  <c r="B2697"/>
  <c r="A2698"/>
  <c r="B2698"/>
  <c r="A2699"/>
  <c r="B2699"/>
  <c r="A2700"/>
  <c r="B2700"/>
  <c r="A2701"/>
  <c r="B2701"/>
  <c r="A2702"/>
  <c r="B2702"/>
  <c r="A2703"/>
  <c r="B2703"/>
  <c r="A2704"/>
  <c r="B2704"/>
  <c r="A2705"/>
  <c r="B2705"/>
  <c r="A2706"/>
  <c r="B2706"/>
  <c r="A2707"/>
  <c r="B2707"/>
  <c r="A2708"/>
  <c r="B2708"/>
  <c r="A2709"/>
  <c r="B2709"/>
  <c r="A2710"/>
  <c r="B2710"/>
  <c r="A2711"/>
  <c r="B2711"/>
  <c r="A2712"/>
  <c r="B2712"/>
  <c r="A2713"/>
  <c r="B2713"/>
  <c r="A2714"/>
  <c r="B2714"/>
  <c r="A2715"/>
  <c r="B2715"/>
  <c r="A2716"/>
  <c r="B2716"/>
  <c r="A2717"/>
  <c r="B2717"/>
  <c r="A2718"/>
  <c r="B2718"/>
  <c r="A2719"/>
  <c r="B2719"/>
  <c r="A2720"/>
  <c r="B2720"/>
  <c r="A2721"/>
  <c r="B2721"/>
  <c r="A2722"/>
  <c r="B2722"/>
  <c r="A2723"/>
  <c r="B2723"/>
  <c r="A2724"/>
  <c r="B2724"/>
  <c r="A2725"/>
  <c r="B2725"/>
  <c r="A2726"/>
  <c r="B2726"/>
  <c r="A2727"/>
  <c r="B2727"/>
  <c r="A2728"/>
  <c r="B2728"/>
  <c r="A2729"/>
  <c r="B2729"/>
  <c r="A2730"/>
  <c r="B2730"/>
  <c r="A2731"/>
  <c r="B2731"/>
  <c r="A2732"/>
  <c r="B2732"/>
  <c r="A2733"/>
  <c r="B2733"/>
  <c r="A2734"/>
  <c r="B2734"/>
  <c r="A2735"/>
  <c r="B2735"/>
  <c r="A2736"/>
  <c r="B2736"/>
  <c r="A2737"/>
  <c r="B2737"/>
  <c r="A2738"/>
  <c r="B2738"/>
  <c r="A2739"/>
  <c r="B2739"/>
  <c r="A2740"/>
  <c r="B2740"/>
  <c r="A2741"/>
  <c r="B2741"/>
  <c r="A2742"/>
  <c r="B2742"/>
  <c r="A2743"/>
  <c r="B2743"/>
  <c r="A2744"/>
  <c r="B2744"/>
  <c r="A2745"/>
  <c r="B2745"/>
  <c r="A2746"/>
  <c r="B2746"/>
  <c r="A2747"/>
  <c r="B2747"/>
  <c r="A2748"/>
  <c r="B2748"/>
  <c r="A2749"/>
  <c r="B2749"/>
  <c r="A2750"/>
  <c r="B2750"/>
  <c r="A2751"/>
  <c r="B2751"/>
  <c r="A2752"/>
  <c r="B2752"/>
  <c r="A2753"/>
  <c r="B2753"/>
  <c r="A2754"/>
  <c r="B2754"/>
  <c r="A2755"/>
  <c r="B2755"/>
  <c r="A2756"/>
  <c r="B2756"/>
  <c r="A2757"/>
  <c r="B2757"/>
  <c r="A2758"/>
  <c r="B2758"/>
  <c r="A2759"/>
  <c r="B2759"/>
  <c r="A2760"/>
  <c r="B2760"/>
  <c r="A2761"/>
  <c r="B2761"/>
  <c r="A2762"/>
  <c r="B2762"/>
  <c r="A2763"/>
  <c r="B2763"/>
  <c r="A2764"/>
  <c r="B2764"/>
  <c r="A2765"/>
  <c r="B2765"/>
  <c r="A2766"/>
  <c r="B2766"/>
  <c r="A2767"/>
  <c r="B2767"/>
  <c r="A2768"/>
  <c r="B2768"/>
  <c r="A2769"/>
  <c r="B2769"/>
  <c r="A2770"/>
  <c r="B2770"/>
  <c r="A2771"/>
  <c r="B2771"/>
  <c r="A2772"/>
  <c r="B2772"/>
  <c r="A2773"/>
  <c r="B2773"/>
  <c r="A2774"/>
  <c r="B2774"/>
  <c r="A2775"/>
  <c r="B2775"/>
  <c r="A2776"/>
  <c r="B2776"/>
  <c r="A2777"/>
  <c r="B2777"/>
  <c r="A2778"/>
  <c r="B2778"/>
  <c r="A2779"/>
  <c r="B2779"/>
  <c r="A2780"/>
  <c r="B2780"/>
  <c r="A2781"/>
  <c r="B2781"/>
  <c r="A2782"/>
  <c r="B2782"/>
  <c r="A2783"/>
  <c r="B2783"/>
  <c r="A2784"/>
  <c r="B2784"/>
  <c r="A2785"/>
  <c r="B2785"/>
  <c r="A2786"/>
  <c r="B2786"/>
  <c r="A2787"/>
  <c r="B2787"/>
  <c r="A2788"/>
  <c r="B2788"/>
  <c r="A2789"/>
  <c r="B2789"/>
  <c r="A2790"/>
  <c r="B2790"/>
  <c r="A2791"/>
  <c r="B2791"/>
  <c r="A2792"/>
  <c r="B2792"/>
  <c r="A2793"/>
  <c r="B2793"/>
  <c r="A2794"/>
  <c r="B2794"/>
  <c r="A2795"/>
  <c r="B2795"/>
  <c r="A2796"/>
  <c r="B2796"/>
  <c r="A2797"/>
  <c r="B2797"/>
  <c r="A2798"/>
  <c r="B2798"/>
  <c r="A2799"/>
  <c r="B2799"/>
  <c r="A2800"/>
  <c r="B2800"/>
  <c r="A2801"/>
  <c r="B2801"/>
  <c r="A2802"/>
  <c r="B2802"/>
  <c r="A2803"/>
  <c r="B2803"/>
  <c r="A2804"/>
  <c r="B2804"/>
  <c r="A2805"/>
  <c r="B2805"/>
  <c r="A2806"/>
  <c r="B2806"/>
  <c r="A2807"/>
  <c r="B2807"/>
  <c r="A2808"/>
  <c r="B2808"/>
  <c r="A2809"/>
  <c r="B2809"/>
  <c r="A2810"/>
  <c r="B2810"/>
  <c r="A2811"/>
  <c r="B2811"/>
  <c r="A2812"/>
  <c r="B2812"/>
  <c r="A2813"/>
  <c r="B2813"/>
  <c r="A2814"/>
  <c r="B2814"/>
  <c r="A2815"/>
  <c r="B2815"/>
  <c r="A2816"/>
  <c r="B2816"/>
  <c r="A2817"/>
  <c r="B2817"/>
  <c r="A2818"/>
  <c r="B2818"/>
  <c r="A2819"/>
  <c r="B2819"/>
  <c r="A2820"/>
  <c r="B2820"/>
  <c r="A2821"/>
  <c r="B2821"/>
  <c r="A2822"/>
  <c r="B2822"/>
  <c r="A2823"/>
  <c r="B2823"/>
  <c r="A2824"/>
  <c r="B2824"/>
  <c r="A2825"/>
  <c r="B2825"/>
  <c r="A2826"/>
  <c r="B2826"/>
  <c r="A2827"/>
  <c r="B2827"/>
  <c r="A2828"/>
  <c r="B2828"/>
  <c r="A2829"/>
  <c r="B2829"/>
  <c r="A2830"/>
  <c r="B2830"/>
  <c r="A2831"/>
  <c r="B2831"/>
  <c r="A2832"/>
  <c r="B2832"/>
  <c r="A2833"/>
  <c r="B2833"/>
  <c r="A2834"/>
  <c r="B2834"/>
  <c r="A2835"/>
  <c r="B2835"/>
  <c r="A2836"/>
  <c r="B2836"/>
  <c r="A2837"/>
  <c r="B2837"/>
  <c r="A2838"/>
  <c r="B2838"/>
  <c r="A2839"/>
  <c r="B2839"/>
  <c r="A2840"/>
  <c r="B2840"/>
  <c r="A2841"/>
  <c r="B2841"/>
  <c r="A2842"/>
  <c r="B2842"/>
  <c r="A2843"/>
  <c r="B2843"/>
  <c r="A2844"/>
  <c r="B2844"/>
  <c r="A2845"/>
  <c r="B2845"/>
  <c r="A2846"/>
  <c r="B2846"/>
  <c r="A2847"/>
  <c r="B2847"/>
  <c r="A2848"/>
  <c r="B2848"/>
  <c r="A2849"/>
  <c r="B2849"/>
  <c r="A2850"/>
  <c r="B2850"/>
  <c r="A2851"/>
  <c r="B2851"/>
  <c r="A2852"/>
  <c r="B2852"/>
  <c r="A2853"/>
  <c r="B2853"/>
  <c r="A2854"/>
  <c r="B2854"/>
  <c r="A2855"/>
  <c r="B2855"/>
  <c r="A2856"/>
  <c r="B2856"/>
  <c r="A2857"/>
  <c r="B2857"/>
  <c r="A2858"/>
  <c r="B2858"/>
  <c r="A2859"/>
  <c r="B2859"/>
  <c r="A2860"/>
  <c r="B2860"/>
  <c r="A2861"/>
  <c r="B2861"/>
  <c r="A2862"/>
  <c r="B2862"/>
  <c r="A2863"/>
  <c r="B2863"/>
  <c r="A2864"/>
  <c r="B2864"/>
  <c r="A2865"/>
  <c r="B2865"/>
  <c r="A2866"/>
  <c r="B2866"/>
  <c r="A2867"/>
  <c r="B2867"/>
  <c r="A2868"/>
  <c r="B2868"/>
  <c r="A2869"/>
  <c r="B2869"/>
  <c r="A2870"/>
  <c r="B2870"/>
  <c r="A2871"/>
  <c r="B2871"/>
  <c r="A2872"/>
  <c r="B2872"/>
  <c r="A2873"/>
  <c r="B2873"/>
  <c r="A2874"/>
  <c r="B2874"/>
  <c r="A2875"/>
  <c r="B2875"/>
  <c r="A2876"/>
  <c r="B2876"/>
  <c r="A2877"/>
  <c r="B2877"/>
  <c r="A2878"/>
  <c r="B2878"/>
  <c r="A2879"/>
  <c r="B2879"/>
  <c r="A2880"/>
  <c r="B2880"/>
  <c r="A2881"/>
  <c r="B2881"/>
  <c r="A2882"/>
  <c r="B2882"/>
  <c r="A2883"/>
  <c r="B2883"/>
  <c r="A2884"/>
  <c r="B2884"/>
  <c r="A2885"/>
  <c r="B2885"/>
  <c r="A2886"/>
  <c r="B2886"/>
  <c r="A2887"/>
  <c r="B2887"/>
  <c r="A2888"/>
  <c r="B2888"/>
  <c r="A2889"/>
  <c r="B2889"/>
  <c r="A2890"/>
  <c r="B2890"/>
  <c r="A2891"/>
  <c r="B2891"/>
  <c r="A2892"/>
  <c r="B2892"/>
  <c r="A2893"/>
  <c r="B2893"/>
  <c r="A2894"/>
  <c r="B2894"/>
  <c r="A2895"/>
  <c r="B2895"/>
  <c r="A2896"/>
  <c r="B2896"/>
  <c r="A2897"/>
  <c r="B2897"/>
  <c r="A2898"/>
  <c r="B2898"/>
  <c r="A2899"/>
  <c r="B2899"/>
  <c r="A2900"/>
  <c r="B2900"/>
  <c r="A2901"/>
  <c r="B2901"/>
  <c r="A2902"/>
  <c r="B2902"/>
  <c r="A2903"/>
  <c r="B2903"/>
  <c r="A2904"/>
  <c r="B2904"/>
  <c r="A2905"/>
  <c r="B2905"/>
  <c r="A2906"/>
  <c r="B2906"/>
  <c r="A2907"/>
  <c r="B2907"/>
  <c r="A2908"/>
  <c r="B2908"/>
  <c r="A2909"/>
  <c r="B2909"/>
  <c r="A2910"/>
  <c r="B2910"/>
  <c r="A2911"/>
  <c r="B2911"/>
  <c r="A2912"/>
  <c r="B2912"/>
  <c r="A2913"/>
  <c r="B2913"/>
  <c r="A2914"/>
  <c r="B2914"/>
  <c r="A2915"/>
  <c r="B2915"/>
  <c r="A2916"/>
  <c r="B2916"/>
  <c r="A2917"/>
  <c r="B2917"/>
  <c r="A2918"/>
  <c r="B2918"/>
  <c r="A2919"/>
  <c r="B2919"/>
  <c r="A2920"/>
  <c r="B2920"/>
  <c r="A2921"/>
  <c r="B2921"/>
  <c r="A2922"/>
  <c r="B2922"/>
  <c r="A2923"/>
  <c r="B2923"/>
  <c r="A2924"/>
  <c r="B2924"/>
  <c r="A2925"/>
  <c r="B2925"/>
  <c r="A2926"/>
  <c r="B2926"/>
  <c r="A2927"/>
  <c r="B2927"/>
  <c r="A2928"/>
  <c r="B2928"/>
  <c r="A2929"/>
  <c r="B2929"/>
  <c r="A2930"/>
  <c r="B2930"/>
  <c r="A2931"/>
  <c r="B2931"/>
  <c r="A2932"/>
  <c r="B2932"/>
  <c r="A2933"/>
  <c r="B2933"/>
  <c r="A2934"/>
  <c r="B2934"/>
  <c r="A2935"/>
  <c r="B2935"/>
  <c r="A2936"/>
  <c r="B2936"/>
  <c r="A2937"/>
  <c r="B2937"/>
  <c r="A2938"/>
  <c r="B2938"/>
  <c r="A2939"/>
  <c r="B2939"/>
  <c r="A2940"/>
  <c r="B2940"/>
  <c r="A2941"/>
  <c r="B2941"/>
  <c r="A2942"/>
  <c r="B2942"/>
  <c r="A2943"/>
  <c r="B2943"/>
  <c r="A2944"/>
  <c r="B2944"/>
  <c r="A2945"/>
  <c r="B2945"/>
  <c r="A2946"/>
  <c r="B2946"/>
  <c r="A2947"/>
  <c r="B2947"/>
  <c r="A2948"/>
  <c r="B2948"/>
  <c r="A2949"/>
  <c r="B2949"/>
  <c r="A2950"/>
  <c r="B2950"/>
  <c r="A2951"/>
  <c r="B2951"/>
  <c r="A2952"/>
  <c r="B2952"/>
  <c r="A2953"/>
  <c r="B2953"/>
  <c r="A2954"/>
  <c r="B2954"/>
  <c r="A2955"/>
  <c r="B2955"/>
  <c r="A2956"/>
  <c r="B2956"/>
  <c r="A2957"/>
  <c r="B2957"/>
  <c r="A2958"/>
  <c r="B2958"/>
  <c r="A2959"/>
  <c r="B2959"/>
  <c r="A2960"/>
  <c r="B2960"/>
  <c r="A2961"/>
  <c r="B2961"/>
  <c r="A2962"/>
  <c r="B2962"/>
  <c r="A2963"/>
  <c r="B2963"/>
  <c r="A2964"/>
  <c r="B2964"/>
  <c r="A2965"/>
  <c r="B2965"/>
  <c r="A2966"/>
  <c r="B2966"/>
  <c r="A2967"/>
  <c r="B2967"/>
  <c r="A2968"/>
  <c r="B2968"/>
  <c r="A2969"/>
  <c r="B2969"/>
  <c r="A2970"/>
  <c r="B2970"/>
  <c r="A2971"/>
  <c r="B2971"/>
  <c r="A2972"/>
  <c r="B2972"/>
  <c r="A2973"/>
  <c r="B2973"/>
  <c r="A2974"/>
  <c r="B2974"/>
  <c r="A2975"/>
  <c r="B2975"/>
  <c r="A2976"/>
  <c r="B2976"/>
  <c r="A2977"/>
  <c r="B2977"/>
  <c r="A2978"/>
  <c r="B2978"/>
  <c r="A2979"/>
  <c r="B2979"/>
  <c r="A2980"/>
  <c r="B2980"/>
  <c r="A2981"/>
  <c r="B2981"/>
  <c r="A2982"/>
  <c r="B2982"/>
  <c r="A2983"/>
  <c r="B2983"/>
  <c r="A2984"/>
  <c r="B2984"/>
  <c r="A2985"/>
  <c r="B2985"/>
  <c r="A2986"/>
  <c r="B2986"/>
  <c r="A2987"/>
  <c r="B2987"/>
  <c r="A2988"/>
  <c r="B2988"/>
  <c r="A2989"/>
  <c r="B2989"/>
  <c r="A2990"/>
  <c r="B2990"/>
  <c r="A2991"/>
  <c r="B2991"/>
  <c r="A2992"/>
  <c r="B2992"/>
  <c r="A2993"/>
  <c r="B2993"/>
  <c r="A2994"/>
  <c r="B2994"/>
  <c r="A2995"/>
  <c r="B2995"/>
  <c r="A2996"/>
  <c r="B2996"/>
  <c r="A2997"/>
  <c r="B2997"/>
  <c r="A2998"/>
  <c r="B2998"/>
  <c r="A2999"/>
  <c r="B2999"/>
  <c r="A3000"/>
  <c r="B3000"/>
  <c r="A3001"/>
  <c r="B3001"/>
  <c r="A3002"/>
  <c r="B3002"/>
  <c r="A3003"/>
  <c r="B3003"/>
  <c r="A3004"/>
  <c r="B3004"/>
  <c r="A3005"/>
  <c r="B3005"/>
  <c r="A3006"/>
  <c r="B3006"/>
  <c r="A3007"/>
  <c r="B3007"/>
  <c r="A3008"/>
  <c r="B3008"/>
  <c r="A3009"/>
  <c r="B3009"/>
  <c r="A3010"/>
  <c r="B3010"/>
  <c r="A3011"/>
  <c r="B3011"/>
  <c r="A3012"/>
  <c r="B3012"/>
  <c r="A3013"/>
  <c r="B3013"/>
  <c r="A3014"/>
  <c r="B3014"/>
  <c r="A3015"/>
  <c r="B3015"/>
  <c r="A3016"/>
  <c r="B3016"/>
  <c r="A3017"/>
  <c r="B3017"/>
  <c r="A3018"/>
  <c r="B3018"/>
  <c r="A3019"/>
  <c r="B3019"/>
  <c r="A3020"/>
  <c r="B3020"/>
  <c r="A3021"/>
  <c r="B3021"/>
  <c r="A3022"/>
  <c r="B3022"/>
  <c r="A3023"/>
  <c r="B3023"/>
  <c r="A3024"/>
  <c r="B3024"/>
  <c r="A3025"/>
  <c r="B3025"/>
  <c r="A3026"/>
  <c r="B3026"/>
  <c r="A3027"/>
  <c r="B3027"/>
  <c r="A3028"/>
  <c r="B3028"/>
  <c r="A3029"/>
  <c r="B3029"/>
  <c r="A3030"/>
  <c r="B3030"/>
  <c r="A3031"/>
  <c r="B3031"/>
  <c r="A3032"/>
  <c r="B3032"/>
  <c r="A3033"/>
  <c r="B3033"/>
  <c r="A3034"/>
  <c r="B3034"/>
  <c r="A3035"/>
  <c r="B3035"/>
  <c r="A3036"/>
  <c r="B3036"/>
  <c r="A3037"/>
  <c r="B3037"/>
  <c r="A3038"/>
  <c r="B3038"/>
  <c r="A3039"/>
  <c r="B3039"/>
  <c r="A3040"/>
  <c r="B3040"/>
  <c r="A3041"/>
  <c r="B3041"/>
  <c r="A3042"/>
  <c r="B3042"/>
  <c r="A3043"/>
  <c r="B3043"/>
  <c r="A3044"/>
  <c r="B3044"/>
  <c r="A3045"/>
  <c r="B3045"/>
  <c r="A3046"/>
  <c r="B3046"/>
  <c r="A3047"/>
  <c r="B3047"/>
  <c r="A3048"/>
  <c r="B3048"/>
  <c r="A3049"/>
  <c r="B3049"/>
  <c r="A3050"/>
  <c r="B3050"/>
  <c r="A3051"/>
  <c r="B3051"/>
  <c r="A3052"/>
  <c r="B3052"/>
  <c r="A3053"/>
  <c r="B3053"/>
  <c r="A3054"/>
  <c r="B3054"/>
  <c r="A3055"/>
  <c r="B3055"/>
  <c r="A3056"/>
  <c r="B3056"/>
  <c r="A3057"/>
  <c r="B3057"/>
  <c r="A3058"/>
  <c r="B3058"/>
  <c r="A3059"/>
  <c r="B3059"/>
  <c r="A3060"/>
  <c r="B3060"/>
  <c r="A3061"/>
  <c r="B3061"/>
  <c r="A3062"/>
  <c r="B3062"/>
  <c r="A3063"/>
  <c r="B3063"/>
  <c r="A3064"/>
  <c r="B3064"/>
  <c r="A3065"/>
  <c r="B3065"/>
  <c r="A3066"/>
  <c r="B3066"/>
  <c r="A3067"/>
  <c r="B3067"/>
  <c r="A3068"/>
  <c r="B3068"/>
  <c r="A3069"/>
  <c r="B3069"/>
  <c r="A3070"/>
  <c r="B3070"/>
  <c r="A3071"/>
  <c r="B3071"/>
  <c r="A3072"/>
  <c r="B3072"/>
  <c r="A3073"/>
  <c r="B3073"/>
  <c r="A3074"/>
  <c r="B3074"/>
  <c r="A3075"/>
  <c r="B3075"/>
  <c r="A3076"/>
  <c r="B3076"/>
  <c r="A3077"/>
  <c r="B3077"/>
  <c r="A3078"/>
  <c r="B3078"/>
  <c r="A3079"/>
  <c r="B3079"/>
  <c r="A3080"/>
  <c r="B3080"/>
  <c r="A3081"/>
  <c r="B3081"/>
  <c r="A3082"/>
  <c r="B3082"/>
  <c r="A3083"/>
  <c r="B3083"/>
  <c r="A3084"/>
  <c r="B3084"/>
  <c r="A3085"/>
  <c r="B3085"/>
  <c r="A3086"/>
  <c r="B3086"/>
  <c r="A3087"/>
  <c r="B3087"/>
  <c r="A3088"/>
  <c r="B3088"/>
  <c r="A3089"/>
  <c r="B3089"/>
  <c r="A3090"/>
  <c r="B3090"/>
  <c r="A3091"/>
  <c r="B3091"/>
  <c r="A3092"/>
  <c r="B3092"/>
  <c r="A3093"/>
  <c r="B3093"/>
  <c r="A3094"/>
  <c r="B3094"/>
  <c r="A3095"/>
  <c r="B3095"/>
  <c r="A3096"/>
  <c r="B3096"/>
  <c r="A3097"/>
  <c r="B3097"/>
  <c r="A3098"/>
  <c r="B3098"/>
  <c r="A3099"/>
  <c r="B3099"/>
  <c r="A3100"/>
  <c r="B3100"/>
  <c r="A3101"/>
  <c r="B3101"/>
  <c r="A3102"/>
  <c r="B3102"/>
  <c r="A3103"/>
  <c r="B3103"/>
  <c r="A3104"/>
  <c r="B3104"/>
  <c r="A3105"/>
  <c r="B3105"/>
  <c r="A3106"/>
  <c r="B3106"/>
  <c r="A3107"/>
  <c r="B3107"/>
  <c r="A3108"/>
  <c r="B3108"/>
  <c r="A3109"/>
  <c r="B3109"/>
  <c r="A3110"/>
  <c r="B3110"/>
  <c r="A3111"/>
  <c r="B3111"/>
  <c r="A3112"/>
  <c r="B3112"/>
  <c r="A3113"/>
  <c r="B3113"/>
  <c r="A3114"/>
  <c r="B3114"/>
  <c r="A3115"/>
  <c r="B3115"/>
  <c r="A3116"/>
  <c r="B3116"/>
  <c r="A3117"/>
  <c r="B3117"/>
  <c r="A3118"/>
  <c r="B3118"/>
  <c r="A3119"/>
  <c r="B3119"/>
  <c r="A3120"/>
  <c r="B3120"/>
  <c r="A3121"/>
  <c r="B3121"/>
  <c r="A3122"/>
  <c r="B3122"/>
  <c r="A3123"/>
  <c r="B3123"/>
  <c r="A3124"/>
  <c r="B3124"/>
  <c r="A3125"/>
  <c r="B3125"/>
  <c r="A3126"/>
  <c r="B3126"/>
  <c r="A3127"/>
  <c r="B3127"/>
  <c r="A3128"/>
  <c r="B3128"/>
  <c r="A3129"/>
  <c r="B3129"/>
  <c r="A3130"/>
  <c r="B3130"/>
  <c r="A3131"/>
  <c r="B3131"/>
  <c r="A3132"/>
  <c r="B3132"/>
  <c r="A3133"/>
  <c r="B3133"/>
  <c r="A3134"/>
  <c r="B3134"/>
  <c r="A3135"/>
  <c r="B3135"/>
  <c r="A3136"/>
  <c r="B3136"/>
  <c r="A3137"/>
  <c r="B3137"/>
  <c r="A3138"/>
  <c r="B3138"/>
  <c r="A3139"/>
  <c r="B3139"/>
  <c r="A3140"/>
  <c r="B3140"/>
  <c r="A3141"/>
  <c r="B3141"/>
  <c r="A3142"/>
  <c r="B3142"/>
  <c r="A3143"/>
  <c r="B3143"/>
  <c r="A3144"/>
  <c r="B3144"/>
  <c r="A3145"/>
  <c r="B3145"/>
  <c r="A3146"/>
  <c r="B3146"/>
  <c r="A3147"/>
  <c r="B3147"/>
  <c r="A3148"/>
  <c r="B3148"/>
  <c r="A3149"/>
  <c r="B3149"/>
  <c r="A3150"/>
  <c r="B3150"/>
  <c r="A3151"/>
  <c r="B3151"/>
  <c r="A3152"/>
  <c r="B3152"/>
  <c r="A3153"/>
  <c r="B3153"/>
  <c r="A3154"/>
  <c r="B3154"/>
  <c r="A3155"/>
  <c r="B3155"/>
  <c r="A3156"/>
  <c r="B3156"/>
  <c r="A3157"/>
  <c r="B3157"/>
  <c r="A3158"/>
  <c r="B3158"/>
  <c r="A3159"/>
  <c r="B3159"/>
  <c r="A3160"/>
  <c r="B3160"/>
  <c r="A3161"/>
  <c r="B3161"/>
  <c r="A3162"/>
  <c r="B3162"/>
  <c r="A3163"/>
  <c r="B3163"/>
  <c r="A3164"/>
  <c r="B3164"/>
  <c r="A3165"/>
  <c r="B3165"/>
  <c r="A3166"/>
  <c r="B3166"/>
  <c r="A3167"/>
  <c r="B3167"/>
  <c r="A3168"/>
  <c r="B3168"/>
  <c r="A3169"/>
  <c r="B3169"/>
  <c r="A3170"/>
  <c r="B3170"/>
  <c r="A3171"/>
  <c r="B3171"/>
  <c r="A3172"/>
  <c r="B3172"/>
  <c r="A3173"/>
  <c r="B3173"/>
  <c r="A3174"/>
  <c r="B3174"/>
  <c r="A3175"/>
  <c r="B3175"/>
  <c r="A3176"/>
  <c r="B3176"/>
  <c r="A3177"/>
  <c r="B3177"/>
  <c r="A3178"/>
  <c r="B3178"/>
  <c r="A3179"/>
  <c r="B3179"/>
  <c r="A3180"/>
  <c r="B3180"/>
  <c r="A3181"/>
  <c r="B3181"/>
  <c r="A3182"/>
  <c r="B3182"/>
  <c r="A3183"/>
  <c r="B3183"/>
  <c r="A3184"/>
  <c r="B3184"/>
  <c r="A3185"/>
  <c r="B3185"/>
  <c r="A3186"/>
  <c r="B3186"/>
  <c r="A3187"/>
  <c r="B3187"/>
  <c r="A3188"/>
  <c r="B3188"/>
  <c r="A3189"/>
  <c r="B3189"/>
  <c r="A3190"/>
  <c r="B3190"/>
  <c r="A3191"/>
  <c r="B3191"/>
  <c r="A3192"/>
  <c r="B3192"/>
  <c r="A3193"/>
  <c r="B3193"/>
  <c r="A3194"/>
  <c r="B3194"/>
  <c r="A3195"/>
  <c r="B3195"/>
  <c r="A3196"/>
  <c r="B3196"/>
  <c r="A3197"/>
  <c r="B3197"/>
  <c r="A3198"/>
  <c r="B3198"/>
  <c r="A3199"/>
  <c r="B3199"/>
  <c r="A3200"/>
  <c r="B3200"/>
  <c r="A3201"/>
  <c r="B3201"/>
  <c r="A3202"/>
  <c r="B3202"/>
  <c r="A3203"/>
  <c r="B3203"/>
  <c r="A3204"/>
  <c r="B3204"/>
  <c r="A3205"/>
  <c r="B3205"/>
  <c r="A3206"/>
  <c r="B3206"/>
  <c r="A3207"/>
  <c r="B3207"/>
  <c r="A3208"/>
  <c r="B3208"/>
  <c r="A3209"/>
  <c r="B3209"/>
  <c r="A3210"/>
  <c r="B3210"/>
  <c r="A3211"/>
  <c r="B3211"/>
  <c r="A3212"/>
  <c r="B3212"/>
  <c r="A3213"/>
  <c r="B3213"/>
  <c r="A3214"/>
  <c r="B3214"/>
  <c r="A3215"/>
  <c r="B3215"/>
  <c r="A3216"/>
  <c r="B3216"/>
  <c r="A3217"/>
  <c r="B3217"/>
  <c r="A3218"/>
  <c r="B3218"/>
  <c r="A3219"/>
  <c r="B3219"/>
  <c r="A3220"/>
  <c r="B3220"/>
  <c r="A3221"/>
  <c r="B3221"/>
  <c r="A3222"/>
  <c r="B3222"/>
  <c r="A3223"/>
  <c r="B3223"/>
  <c r="A3224"/>
  <c r="B3224"/>
  <c r="A3225"/>
  <c r="B3225"/>
  <c r="A3226"/>
  <c r="B3226"/>
  <c r="A3227"/>
  <c r="B3227"/>
  <c r="A3228"/>
  <c r="B3228"/>
  <c r="A3229"/>
  <c r="B3229"/>
  <c r="A3230"/>
  <c r="B3230"/>
  <c r="A3231"/>
  <c r="B3231"/>
  <c r="A3232"/>
  <c r="B3232"/>
  <c r="A3233"/>
  <c r="B3233"/>
  <c r="A3234"/>
  <c r="B3234"/>
  <c r="A3235"/>
  <c r="B3235"/>
  <c r="A3236"/>
  <c r="B3236"/>
  <c r="A3237"/>
  <c r="B3237"/>
  <c r="A3238"/>
  <c r="B3238"/>
  <c r="A3239"/>
  <c r="B3239"/>
  <c r="A3240"/>
  <c r="B3240"/>
  <c r="A3241"/>
  <c r="B3241"/>
  <c r="A3242"/>
  <c r="B3242"/>
  <c r="A3243"/>
  <c r="B3243"/>
  <c r="A3244"/>
  <c r="B3244"/>
  <c r="A3245"/>
  <c r="B3245"/>
  <c r="A3246"/>
  <c r="B3246"/>
  <c r="A3247"/>
  <c r="B3247"/>
  <c r="A3248"/>
  <c r="B3248"/>
  <c r="A3249"/>
  <c r="B3249"/>
  <c r="A3250"/>
  <c r="B3250"/>
  <c r="A3251"/>
  <c r="B3251"/>
  <c r="A3252"/>
  <c r="B3252"/>
  <c r="A3253"/>
  <c r="B3253"/>
  <c r="A3254"/>
  <c r="B3254"/>
  <c r="A3255"/>
  <c r="B3255"/>
  <c r="A3256"/>
  <c r="B3256"/>
  <c r="A3257"/>
  <c r="B3257"/>
  <c r="A3258"/>
  <c r="B3258"/>
  <c r="A3259"/>
  <c r="B3259"/>
  <c r="A3260"/>
  <c r="B3260"/>
  <c r="A3261"/>
  <c r="B3261"/>
  <c r="A3262"/>
  <c r="B3262"/>
  <c r="A3263"/>
  <c r="B3263"/>
  <c r="A3264"/>
  <c r="B3264"/>
  <c r="A3265"/>
  <c r="B3265"/>
  <c r="A3266"/>
  <c r="B3266"/>
  <c r="A3267"/>
  <c r="B3267"/>
  <c r="A3268"/>
  <c r="B3268"/>
  <c r="A3269"/>
  <c r="B3269"/>
  <c r="A3270"/>
  <c r="B3270"/>
  <c r="A3271"/>
  <c r="B3271"/>
  <c r="A3272"/>
  <c r="B3272"/>
  <c r="A3273"/>
  <c r="B3273"/>
  <c r="A3274"/>
  <c r="B3274"/>
  <c r="A3275"/>
  <c r="B3275"/>
  <c r="A3276"/>
  <c r="B3276"/>
  <c r="A3277"/>
  <c r="B3277"/>
  <c r="A3278"/>
  <c r="B3278"/>
  <c r="A3279"/>
  <c r="B3279"/>
  <c r="A3280"/>
  <c r="B3280"/>
  <c r="A3281"/>
  <c r="B3281"/>
  <c r="A3282"/>
  <c r="B3282"/>
  <c r="A3283"/>
  <c r="B3283"/>
  <c r="A3284"/>
  <c r="B3284"/>
  <c r="A3285"/>
  <c r="B3285"/>
  <c r="A3286"/>
  <c r="B3286"/>
  <c r="A3287"/>
  <c r="B3287"/>
  <c r="A3288"/>
  <c r="B3288"/>
  <c r="A3289"/>
  <c r="B3289"/>
  <c r="A3290"/>
  <c r="B3290"/>
  <c r="A3291"/>
  <c r="B3291"/>
  <c r="A3292"/>
  <c r="B3292"/>
  <c r="A3293"/>
  <c r="B3293"/>
  <c r="A3294"/>
  <c r="B3294"/>
  <c r="A3295"/>
  <c r="B3295"/>
  <c r="A3296"/>
  <c r="B3296"/>
  <c r="A3297"/>
  <c r="B3297"/>
  <c r="A3298"/>
  <c r="B3298"/>
  <c r="A3299"/>
  <c r="B3299"/>
  <c r="A3300"/>
  <c r="B3300"/>
  <c r="A3301"/>
  <c r="B3301"/>
  <c r="A3302"/>
  <c r="B3302"/>
  <c r="A3303"/>
  <c r="B3303"/>
  <c r="A3304"/>
  <c r="B3304"/>
  <c r="A3305"/>
  <c r="B3305"/>
  <c r="A3306"/>
  <c r="B3306"/>
  <c r="A3307"/>
  <c r="B3307"/>
  <c r="A3308"/>
  <c r="B3308"/>
  <c r="A3309"/>
  <c r="B3309"/>
  <c r="A3310"/>
  <c r="B3310"/>
  <c r="A3311"/>
  <c r="B3311"/>
  <c r="A3312"/>
  <c r="B3312"/>
  <c r="A3313"/>
  <c r="B3313"/>
  <c r="A3314"/>
  <c r="B3314"/>
  <c r="A3315"/>
  <c r="B3315"/>
  <c r="A3316"/>
  <c r="B3316"/>
  <c r="A3317"/>
  <c r="B3317"/>
  <c r="A3318"/>
  <c r="B3318"/>
  <c r="A3319"/>
  <c r="B3319"/>
  <c r="A3320"/>
  <c r="B3320"/>
  <c r="A3321"/>
  <c r="B3321"/>
  <c r="A3322"/>
  <c r="B3322"/>
  <c r="A3323"/>
  <c r="B3323"/>
  <c r="A3324"/>
  <c r="B3324"/>
  <c r="A3325"/>
  <c r="B3325"/>
  <c r="A3326"/>
  <c r="B3326"/>
  <c r="A3327"/>
  <c r="B3327"/>
  <c r="A3328"/>
  <c r="B3328"/>
  <c r="A3329"/>
  <c r="B3329"/>
  <c r="A3330"/>
  <c r="B3330"/>
  <c r="A3331"/>
  <c r="B3331"/>
  <c r="A3332"/>
  <c r="B3332"/>
  <c r="A3333"/>
  <c r="B3333"/>
  <c r="A3334"/>
  <c r="B3334"/>
  <c r="A3335"/>
  <c r="B3335"/>
  <c r="A3336"/>
  <c r="B3336"/>
  <c r="A3337"/>
  <c r="B3337"/>
  <c r="A3338"/>
  <c r="B3338"/>
  <c r="A3339"/>
  <c r="B3339"/>
  <c r="A3340"/>
  <c r="B3340"/>
  <c r="A3341"/>
  <c r="B3341"/>
  <c r="A3342"/>
  <c r="B3342"/>
  <c r="A3343"/>
  <c r="B3343"/>
  <c r="A3344"/>
  <c r="B3344"/>
  <c r="A3345"/>
  <c r="B3345"/>
  <c r="A3346"/>
  <c r="B3346"/>
  <c r="A3347"/>
  <c r="B3347"/>
  <c r="A3348"/>
  <c r="B3348"/>
  <c r="A3349"/>
  <c r="B3349"/>
  <c r="A3350"/>
  <c r="B3350"/>
  <c r="A3351"/>
  <c r="B3351"/>
  <c r="A3352"/>
  <c r="B3352"/>
  <c r="A3353"/>
  <c r="B3353"/>
  <c r="A3354"/>
  <c r="B3354"/>
  <c r="A3355"/>
  <c r="B3355"/>
  <c r="A3356"/>
  <c r="B3356"/>
  <c r="A3357"/>
  <c r="B3357"/>
  <c r="A3358"/>
  <c r="B3358"/>
  <c r="A3359"/>
  <c r="B3359"/>
  <c r="A3360"/>
  <c r="B3360"/>
  <c r="A3361"/>
  <c r="B3361"/>
  <c r="A3362"/>
  <c r="B3362"/>
  <c r="A3363"/>
  <c r="B3363"/>
  <c r="A3364"/>
  <c r="B3364"/>
  <c r="A3365"/>
  <c r="B3365"/>
  <c r="A3366"/>
  <c r="B3366"/>
  <c r="A3367"/>
  <c r="B3367"/>
  <c r="A3368"/>
  <c r="B3368"/>
  <c r="A3369"/>
  <c r="B3369"/>
  <c r="A3370"/>
  <c r="B3370"/>
  <c r="A3371"/>
  <c r="B3371"/>
  <c r="A3372"/>
  <c r="B3372"/>
  <c r="A3373"/>
  <c r="B3373"/>
  <c r="A3374"/>
  <c r="B3374"/>
  <c r="A3375"/>
  <c r="B3375"/>
  <c r="A3376"/>
  <c r="B3376"/>
  <c r="A3377"/>
  <c r="B3377"/>
  <c r="A3378"/>
  <c r="B3378"/>
  <c r="A3379"/>
  <c r="B3379"/>
  <c r="A3380"/>
  <c r="B3380"/>
  <c r="A3381"/>
  <c r="B3381"/>
  <c r="A3382"/>
  <c r="B3382"/>
  <c r="A3383"/>
  <c r="B3383"/>
  <c r="A3384"/>
  <c r="B3384"/>
  <c r="A3385"/>
  <c r="B3385"/>
  <c r="A3386"/>
  <c r="B3386"/>
  <c r="A3387"/>
  <c r="B3387"/>
  <c r="A3388"/>
  <c r="B3388"/>
  <c r="A3389"/>
  <c r="B3389"/>
  <c r="A3390"/>
  <c r="B3390"/>
  <c r="A3391"/>
  <c r="B3391"/>
  <c r="A3392"/>
  <c r="B3392"/>
  <c r="A3393"/>
  <c r="B3393"/>
  <c r="A3394"/>
  <c r="B3394"/>
  <c r="A3395"/>
  <c r="B3395"/>
  <c r="A3396"/>
  <c r="B3396"/>
  <c r="A3397"/>
  <c r="B3397"/>
  <c r="A3398"/>
  <c r="B3398"/>
  <c r="A3399"/>
  <c r="B3399"/>
  <c r="A3400"/>
  <c r="B3400"/>
  <c r="A3401"/>
  <c r="B3401"/>
  <c r="A3402"/>
  <c r="B3402"/>
  <c r="A3403"/>
  <c r="B3403"/>
  <c r="A3404"/>
  <c r="B3404"/>
  <c r="A3405"/>
  <c r="B3405"/>
  <c r="A3406"/>
  <c r="B3406"/>
  <c r="A3407"/>
  <c r="B3407"/>
  <c r="A3408"/>
  <c r="B3408"/>
  <c r="A3409"/>
  <c r="B3409"/>
  <c r="A3410"/>
  <c r="B3410"/>
  <c r="A3411"/>
  <c r="B3411"/>
  <c r="A3412"/>
  <c r="B3412"/>
  <c r="A3413"/>
  <c r="B3413"/>
  <c r="A3414"/>
  <c r="B3414"/>
  <c r="A3415"/>
  <c r="B3415"/>
  <c r="A3416"/>
  <c r="B3416"/>
  <c r="A3417"/>
  <c r="B3417"/>
  <c r="A3418"/>
  <c r="B3418"/>
  <c r="A3419"/>
  <c r="B3419"/>
  <c r="A3420"/>
  <c r="B3420"/>
  <c r="A3421"/>
  <c r="B3421"/>
  <c r="A3422"/>
  <c r="B3422"/>
  <c r="A3423"/>
  <c r="B3423"/>
  <c r="A3424"/>
  <c r="B3424"/>
  <c r="A3425"/>
  <c r="B3425"/>
  <c r="A3426"/>
  <c r="B3426"/>
  <c r="A3427"/>
  <c r="B3427"/>
  <c r="A3428"/>
  <c r="B3428"/>
  <c r="A3429"/>
  <c r="B3429"/>
  <c r="A3430"/>
  <c r="B3430"/>
  <c r="A3431"/>
  <c r="B3431"/>
  <c r="A3432"/>
  <c r="B3432"/>
  <c r="A3433"/>
  <c r="B3433"/>
  <c r="A3434"/>
  <c r="B3434"/>
  <c r="A3435"/>
  <c r="B3435"/>
  <c r="A3436"/>
  <c r="B3436"/>
  <c r="A3437"/>
  <c r="B3437"/>
  <c r="A3438"/>
  <c r="B3438"/>
  <c r="A3439"/>
  <c r="B3439"/>
  <c r="A3440"/>
  <c r="B3440"/>
  <c r="A3441"/>
  <c r="B3441"/>
  <c r="A3442"/>
  <c r="B3442"/>
  <c r="A3443"/>
  <c r="B3443"/>
  <c r="A3444"/>
  <c r="B3444"/>
  <c r="A3445"/>
  <c r="B3445"/>
  <c r="A3446"/>
  <c r="B3446"/>
  <c r="A3447"/>
  <c r="B3447"/>
  <c r="A3448"/>
  <c r="B3448"/>
  <c r="A3449"/>
  <c r="B3449"/>
  <c r="A3450"/>
  <c r="B3450"/>
  <c r="A3451"/>
  <c r="B3451"/>
  <c r="A3452"/>
  <c r="B3452"/>
  <c r="A3453"/>
  <c r="B3453"/>
  <c r="A3454"/>
  <c r="B3454"/>
  <c r="A3455"/>
  <c r="B3455"/>
  <c r="A3456"/>
  <c r="B3456"/>
  <c r="A3457"/>
  <c r="B3457"/>
  <c r="A3458"/>
  <c r="B3458"/>
  <c r="A3459"/>
  <c r="B3459"/>
  <c r="A3460"/>
  <c r="B3460"/>
  <c r="A3461"/>
  <c r="B3461"/>
  <c r="A3462"/>
  <c r="B3462"/>
  <c r="A3463"/>
  <c r="B3463"/>
  <c r="A3464"/>
  <c r="B3464"/>
  <c r="A3465"/>
  <c r="B3465"/>
  <c r="A3466"/>
  <c r="B3466"/>
  <c r="A3467"/>
  <c r="B3467"/>
  <c r="A3468"/>
  <c r="B3468"/>
  <c r="A3469"/>
  <c r="B3469"/>
  <c r="A3470"/>
  <c r="B3470"/>
  <c r="A3471"/>
  <c r="B3471"/>
  <c r="A3472"/>
  <c r="B3472"/>
  <c r="A3473"/>
  <c r="B3473"/>
  <c r="A3474"/>
  <c r="B3474"/>
  <c r="A3475"/>
  <c r="B3475"/>
  <c r="A3476"/>
  <c r="B3476"/>
  <c r="A3477"/>
  <c r="B3477"/>
  <c r="A3478"/>
  <c r="B3478"/>
  <c r="A3479"/>
  <c r="B3479"/>
  <c r="A3480"/>
  <c r="B3480"/>
  <c r="A3481"/>
  <c r="B3481"/>
  <c r="A3482"/>
  <c r="B3482"/>
  <c r="A3483"/>
  <c r="B3483"/>
  <c r="A3484"/>
  <c r="B3484"/>
  <c r="A3485"/>
  <c r="B3485"/>
  <c r="A3486"/>
  <c r="B3486"/>
  <c r="A3487"/>
  <c r="B3487"/>
  <c r="A3488"/>
  <c r="B3488"/>
  <c r="A3489"/>
  <c r="B3489"/>
  <c r="A3490"/>
  <c r="B3490"/>
  <c r="A3491"/>
  <c r="B3491"/>
  <c r="A3492"/>
  <c r="B3492"/>
  <c r="A3493"/>
  <c r="B3493"/>
  <c r="A3494"/>
  <c r="B3494"/>
  <c r="A3495"/>
  <c r="B3495"/>
  <c r="A3496"/>
  <c r="B3496"/>
  <c r="A3497"/>
  <c r="B3497"/>
  <c r="A3498"/>
  <c r="B3498"/>
  <c r="A3499"/>
  <c r="B3499"/>
  <c r="A3500"/>
  <c r="B3500"/>
  <c r="A3501"/>
  <c r="B3501"/>
  <c r="A3502"/>
  <c r="B3502"/>
  <c r="A3503"/>
  <c r="B3503"/>
  <c r="A3504"/>
  <c r="B3504"/>
  <c r="A3505"/>
  <c r="B3505"/>
  <c r="A3506"/>
  <c r="B3506"/>
  <c r="A3507"/>
  <c r="B3507"/>
  <c r="A3508"/>
  <c r="B3508"/>
  <c r="A3509"/>
  <c r="B3509"/>
  <c r="A3510"/>
  <c r="B3510"/>
  <c r="A3511"/>
  <c r="B3511"/>
  <c r="A3512"/>
  <c r="B3512"/>
  <c r="A3513"/>
  <c r="B3513"/>
  <c r="A3514"/>
  <c r="B3514"/>
  <c r="A3515"/>
  <c r="B3515"/>
  <c r="A3516"/>
  <c r="B3516"/>
  <c r="A3517"/>
  <c r="B3517"/>
  <c r="A3518"/>
  <c r="B3518"/>
  <c r="A3519"/>
  <c r="B3519"/>
  <c r="A3520"/>
  <c r="B3520"/>
  <c r="A3521"/>
  <c r="B3521"/>
  <c r="A3522"/>
  <c r="B3522"/>
  <c r="A3523"/>
  <c r="B3523"/>
  <c r="A3524"/>
  <c r="B3524"/>
  <c r="A3525"/>
  <c r="B3525"/>
  <c r="A3526"/>
  <c r="B3526"/>
  <c r="A3527"/>
  <c r="B3527"/>
  <c r="A3528"/>
  <c r="B3528"/>
  <c r="A3529"/>
  <c r="B3529"/>
  <c r="A3530"/>
  <c r="B3530"/>
  <c r="A3531"/>
  <c r="B3531"/>
  <c r="A3532"/>
  <c r="B3532"/>
  <c r="A3533"/>
  <c r="B3533"/>
  <c r="A3534"/>
  <c r="B3534"/>
  <c r="A3535"/>
  <c r="B3535"/>
  <c r="A3536"/>
  <c r="B3536"/>
  <c r="A3537"/>
  <c r="B3537"/>
  <c r="A3538"/>
  <c r="B3538"/>
  <c r="A3539"/>
  <c r="B3539"/>
  <c r="A3540"/>
  <c r="B3540"/>
  <c r="A3541"/>
  <c r="B3541"/>
  <c r="A3542"/>
  <c r="B3542"/>
  <c r="A3543"/>
  <c r="B3543"/>
  <c r="A3544"/>
  <c r="B3544"/>
  <c r="A3545"/>
  <c r="B3545"/>
  <c r="A3546"/>
  <c r="B3546"/>
  <c r="A3547"/>
  <c r="B3547"/>
  <c r="A3548"/>
  <c r="B3548"/>
  <c r="A3549"/>
  <c r="B3549"/>
  <c r="A3550"/>
  <c r="B3550"/>
  <c r="A3551"/>
  <c r="B3551"/>
  <c r="A3552"/>
  <c r="B3552"/>
  <c r="A3553"/>
  <c r="B3553"/>
  <c r="A3554"/>
  <c r="B3554"/>
  <c r="A3555"/>
  <c r="B3555"/>
  <c r="A3556"/>
  <c r="B3556"/>
  <c r="A3557"/>
  <c r="B3557"/>
  <c r="A3558"/>
  <c r="B3558"/>
  <c r="A3559"/>
  <c r="B3559"/>
  <c r="A3560"/>
  <c r="B3560"/>
  <c r="A3561"/>
  <c r="B3561"/>
  <c r="A3562"/>
  <c r="B3562"/>
  <c r="A3563"/>
  <c r="B3563"/>
  <c r="A3564"/>
  <c r="B3564"/>
  <c r="A3565"/>
  <c r="B3565"/>
  <c r="A3566"/>
  <c r="B3566"/>
  <c r="A3567"/>
  <c r="B3567"/>
  <c r="A3568"/>
  <c r="B3568"/>
  <c r="A3569"/>
  <c r="B3569"/>
  <c r="A3570"/>
  <c r="B3570"/>
  <c r="A3571"/>
  <c r="B3571"/>
  <c r="A3572"/>
  <c r="B3572"/>
  <c r="A3573"/>
  <c r="B3573"/>
  <c r="A3574"/>
  <c r="B3574"/>
  <c r="A3575"/>
  <c r="B3575"/>
  <c r="A3576"/>
  <c r="B3576"/>
  <c r="A3577"/>
  <c r="B3577"/>
  <c r="A3578"/>
  <c r="B3578"/>
  <c r="A3579"/>
  <c r="B3579"/>
  <c r="A3580"/>
  <c r="B3580"/>
  <c r="A3581"/>
  <c r="B3581"/>
  <c r="A3582"/>
  <c r="B3582"/>
  <c r="A3583"/>
  <c r="B3583"/>
  <c r="A3584"/>
  <c r="B3584"/>
  <c r="A3585"/>
  <c r="B3585"/>
  <c r="A3586"/>
  <c r="B3586"/>
  <c r="A3587"/>
  <c r="B3587"/>
  <c r="A3588"/>
  <c r="B3588"/>
  <c r="A3589"/>
  <c r="B3589"/>
  <c r="A3590"/>
  <c r="B3590"/>
  <c r="A3591"/>
  <c r="B3591"/>
  <c r="A3592"/>
  <c r="B3592"/>
  <c r="A3593"/>
  <c r="B3593"/>
  <c r="A3594"/>
  <c r="B3594"/>
  <c r="A3595"/>
  <c r="B3595"/>
  <c r="A3596"/>
  <c r="B3596"/>
  <c r="A3597"/>
  <c r="B3597"/>
  <c r="A3598"/>
  <c r="B3598"/>
  <c r="A3599"/>
  <c r="B3599"/>
  <c r="A3600"/>
  <c r="B3600"/>
  <c r="A3601"/>
  <c r="B3601"/>
  <c r="A3602"/>
  <c r="B3602"/>
  <c r="A3603"/>
  <c r="B3603"/>
  <c r="A3604"/>
  <c r="B3604"/>
  <c r="A3605"/>
  <c r="B3605"/>
  <c r="A3606"/>
  <c r="B3606"/>
  <c r="A3607"/>
  <c r="B3607"/>
  <c r="A3608"/>
  <c r="B3608"/>
  <c r="A3609"/>
  <c r="B3609"/>
  <c r="A3610"/>
  <c r="B3610"/>
  <c r="A3611"/>
  <c r="B3611"/>
  <c r="A3612"/>
  <c r="B3612"/>
  <c r="A3613"/>
  <c r="B3613"/>
  <c r="A3614"/>
  <c r="B3614"/>
  <c r="A3615"/>
  <c r="B3615"/>
  <c r="A3616"/>
  <c r="B3616"/>
  <c r="A3617"/>
  <c r="B3617"/>
  <c r="A3618"/>
  <c r="B3618"/>
  <c r="A3619"/>
  <c r="B3619"/>
  <c r="A3620"/>
  <c r="B3620"/>
  <c r="A3621"/>
  <c r="B3621"/>
  <c r="A3622"/>
  <c r="B3622"/>
  <c r="A3623"/>
  <c r="B3623"/>
  <c r="A3624"/>
  <c r="B3624"/>
  <c r="A3625"/>
  <c r="B3625"/>
  <c r="A3626"/>
  <c r="B3626"/>
  <c r="A3627"/>
  <c r="B3627"/>
  <c r="A3628"/>
  <c r="B3628"/>
  <c r="A3629"/>
  <c r="B3629"/>
  <c r="A3630"/>
  <c r="B3630"/>
  <c r="A3631"/>
  <c r="B3631"/>
  <c r="A3632"/>
  <c r="B3632"/>
  <c r="A3633"/>
  <c r="B3633"/>
  <c r="A3634"/>
  <c r="B3634"/>
  <c r="A3635"/>
  <c r="B3635"/>
  <c r="A3636"/>
  <c r="B3636"/>
  <c r="A3637"/>
  <c r="B3637"/>
  <c r="A3638"/>
  <c r="B3638"/>
  <c r="A3639"/>
  <c r="B3639"/>
  <c r="A3640"/>
  <c r="B3640"/>
  <c r="A3641"/>
  <c r="B3641"/>
  <c r="A3642"/>
  <c r="B3642"/>
  <c r="A3643"/>
  <c r="B3643"/>
  <c r="A3644"/>
  <c r="B3644"/>
  <c r="A3645"/>
  <c r="B3645"/>
  <c r="A3646"/>
  <c r="B3646"/>
  <c r="A3647"/>
  <c r="B3647"/>
  <c r="A3648"/>
  <c r="B3648"/>
  <c r="A3649"/>
  <c r="B3649"/>
  <c r="A3650"/>
  <c r="B3650"/>
  <c r="A3651"/>
  <c r="B3651"/>
  <c r="A3652"/>
  <c r="B3652"/>
  <c r="A3653"/>
  <c r="B3653"/>
  <c r="A3654"/>
  <c r="B3654"/>
  <c r="A3655"/>
  <c r="B3655"/>
  <c r="A3656"/>
  <c r="B3656"/>
  <c r="A3657"/>
  <c r="B3657"/>
  <c r="A3658"/>
  <c r="B3658"/>
  <c r="A3659"/>
  <c r="B3659"/>
  <c r="A3660"/>
  <c r="B3660"/>
  <c r="A3661"/>
  <c r="B3661"/>
  <c r="A3662"/>
  <c r="B3662"/>
  <c r="A3663"/>
  <c r="B3663"/>
  <c r="A3664"/>
  <c r="B3664"/>
  <c r="A3665"/>
  <c r="B3665"/>
  <c r="A3666"/>
  <c r="B3666"/>
  <c r="A3667"/>
  <c r="B3667"/>
  <c r="A3668"/>
  <c r="B3668"/>
  <c r="A3669"/>
  <c r="B3669"/>
  <c r="A3670"/>
  <c r="B3670"/>
  <c r="A3671"/>
  <c r="B3671"/>
  <c r="A3672"/>
  <c r="B3672"/>
  <c r="A3673"/>
  <c r="B3673"/>
  <c r="A3674"/>
  <c r="B3674"/>
  <c r="A3675"/>
  <c r="B3675"/>
  <c r="A3676"/>
  <c r="B3676"/>
  <c r="A3677"/>
  <c r="B3677"/>
  <c r="A3678"/>
  <c r="B3678"/>
  <c r="A3679"/>
  <c r="B3679"/>
  <c r="A3680"/>
  <c r="B3680"/>
  <c r="A3681"/>
  <c r="B3681"/>
  <c r="A3682"/>
  <c r="B3682"/>
  <c r="A3683"/>
  <c r="B3683"/>
  <c r="A3684"/>
  <c r="B3684"/>
  <c r="A3685"/>
  <c r="B3685"/>
  <c r="A3686"/>
  <c r="B3686"/>
  <c r="A3687"/>
  <c r="B3687"/>
  <c r="A3688"/>
  <c r="B3688"/>
  <c r="A3689"/>
  <c r="B3689"/>
  <c r="A3690"/>
  <c r="B3690"/>
  <c r="A3691"/>
  <c r="B3691"/>
  <c r="A3692"/>
  <c r="B3692"/>
  <c r="A3693"/>
  <c r="B3693"/>
  <c r="A3694"/>
  <c r="B3694"/>
  <c r="A3695"/>
  <c r="B3695"/>
  <c r="A3696"/>
  <c r="B3696"/>
  <c r="A3697"/>
  <c r="B3697"/>
  <c r="A3698"/>
  <c r="B3698"/>
  <c r="A3699"/>
  <c r="B3699"/>
  <c r="A3700"/>
  <c r="B3700"/>
  <c r="A3701"/>
  <c r="B3701"/>
  <c r="A3702"/>
  <c r="B3702"/>
  <c r="A3703"/>
  <c r="B3703"/>
  <c r="A3704"/>
  <c r="B3704"/>
  <c r="A3705"/>
  <c r="B3705"/>
  <c r="A3706"/>
  <c r="B3706"/>
  <c r="A3707"/>
  <c r="B3707"/>
  <c r="A3708"/>
  <c r="B3708"/>
  <c r="A3709"/>
  <c r="B3709"/>
  <c r="A3710"/>
  <c r="B3710"/>
  <c r="A3711"/>
  <c r="B3711"/>
  <c r="A3712"/>
  <c r="B3712"/>
  <c r="A3713"/>
  <c r="B3713"/>
  <c r="A3714"/>
  <c r="B3714"/>
  <c r="A3715"/>
  <c r="B3715"/>
  <c r="A3716"/>
  <c r="B3716"/>
  <c r="A3717"/>
  <c r="B3717"/>
  <c r="A3718"/>
  <c r="B3718"/>
  <c r="A3719"/>
  <c r="B3719"/>
  <c r="A3720"/>
  <c r="B3720"/>
  <c r="A3721"/>
  <c r="B3721"/>
  <c r="A3722"/>
  <c r="B3722"/>
  <c r="A3723"/>
  <c r="B3723"/>
  <c r="A3724"/>
  <c r="B3724"/>
  <c r="A3725"/>
  <c r="B3725"/>
  <c r="A3726"/>
  <c r="B3726"/>
  <c r="A3727"/>
  <c r="B3727"/>
  <c r="A3728"/>
  <c r="B3728"/>
  <c r="A3729"/>
  <c r="B3729"/>
  <c r="A3730"/>
  <c r="B3730"/>
  <c r="A3731"/>
  <c r="B3731"/>
  <c r="A3732"/>
  <c r="B3732"/>
  <c r="A3733"/>
  <c r="B3733"/>
  <c r="A3734"/>
  <c r="B3734"/>
  <c r="A3735"/>
  <c r="B3735"/>
  <c r="A3736"/>
  <c r="B3736"/>
  <c r="A3737"/>
  <c r="B3737"/>
  <c r="A3738"/>
  <c r="B3738"/>
  <c r="A3739"/>
  <c r="B3739"/>
  <c r="A3740"/>
  <c r="B3740"/>
  <c r="A3741"/>
  <c r="B3741"/>
  <c r="A3742"/>
  <c r="B3742"/>
  <c r="A3743"/>
  <c r="B3743"/>
  <c r="A3744"/>
  <c r="B3744"/>
  <c r="A3745"/>
  <c r="B3745"/>
  <c r="A3746"/>
  <c r="B3746"/>
  <c r="A3747"/>
  <c r="B3747"/>
  <c r="A3748"/>
  <c r="B3748"/>
  <c r="A3749"/>
  <c r="B3749"/>
  <c r="A3750"/>
  <c r="B3750"/>
  <c r="A3751"/>
  <c r="B3751"/>
  <c r="A3752"/>
  <c r="B3752"/>
  <c r="A3753"/>
  <c r="B3753"/>
  <c r="A3754"/>
  <c r="B3754"/>
  <c r="A3755"/>
  <c r="B3755"/>
  <c r="A3756"/>
  <c r="B3756"/>
  <c r="A3757"/>
  <c r="B3757"/>
  <c r="A3758"/>
  <c r="B3758"/>
  <c r="A3759"/>
  <c r="B3759"/>
  <c r="A3760"/>
  <c r="B3760"/>
  <c r="A3761"/>
  <c r="B3761"/>
  <c r="A3762"/>
  <c r="B3762"/>
  <c r="A3763"/>
  <c r="B3763"/>
  <c r="A3764"/>
  <c r="B3764"/>
  <c r="A3765"/>
  <c r="B3765"/>
  <c r="A3766"/>
  <c r="B3766"/>
  <c r="A3767"/>
  <c r="B3767"/>
  <c r="A3768"/>
  <c r="B3768"/>
  <c r="A3769"/>
  <c r="B3769"/>
  <c r="A3770"/>
  <c r="B3770"/>
  <c r="A3771"/>
  <c r="B3771"/>
  <c r="A3772"/>
  <c r="B3772"/>
  <c r="A3773"/>
  <c r="B3773"/>
  <c r="A3774"/>
  <c r="B3774"/>
  <c r="A3775"/>
  <c r="B3775"/>
  <c r="A3776"/>
  <c r="B3776"/>
  <c r="A3777"/>
  <c r="B3777"/>
  <c r="A3778"/>
  <c r="B3778"/>
  <c r="A3779"/>
  <c r="B3779"/>
  <c r="A3780"/>
  <c r="B3780"/>
  <c r="A3781"/>
  <c r="B3781"/>
  <c r="A3782"/>
  <c r="B3782"/>
  <c r="A3783"/>
  <c r="B3783"/>
  <c r="A3784"/>
  <c r="B3784"/>
  <c r="A3785"/>
  <c r="B3785"/>
  <c r="A3786"/>
  <c r="B3786"/>
  <c r="A3787"/>
  <c r="B3787"/>
  <c r="A3788"/>
  <c r="B3788"/>
  <c r="A3789"/>
  <c r="B3789"/>
  <c r="A3790"/>
  <c r="B3790"/>
  <c r="A3791"/>
  <c r="B3791"/>
  <c r="A3792"/>
  <c r="B3792"/>
  <c r="A3793"/>
  <c r="B3793"/>
  <c r="A3794"/>
  <c r="B3794"/>
  <c r="A3795"/>
  <c r="B3795"/>
  <c r="A3796"/>
  <c r="B3796"/>
  <c r="A3797"/>
  <c r="B3797"/>
  <c r="A3798"/>
  <c r="B3798"/>
  <c r="A3799"/>
  <c r="B3799"/>
  <c r="A3800"/>
  <c r="B3800"/>
  <c r="A3801"/>
  <c r="B3801"/>
  <c r="A3802"/>
  <c r="B3802"/>
  <c r="A3803"/>
  <c r="B3803"/>
  <c r="A3804"/>
  <c r="B3804"/>
  <c r="A3805"/>
  <c r="B3805"/>
  <c r="A3806"/>
  <c r="B3806"/>
  <c r="A3807"/>
  <c r="B3807"/>
  <c r="A3808"/>
  <c r="B3808"/>
  <c r="A3809"/>
  <c r="B3809"/>
  <c r="A3810"/>
  <c r="B3810"/>
  <c r="A3811"/>
  <c r="B3811"/>
  <c r="A3812"/>
  <c r="B3812"/>
  <c r="A3813"/>
  <c r="B3813"/>
  <c r="A3814"/>
  <c r="B3814"/>
  <c r="A3815"/>
  <c r="B3815"/>
  <c r="A3816"/>
  <c r="B3816"/>
  <c r="A3817"/>
  <c r="B3817"/>
  <c r="A3818"/>
  <c r="B3818"/>
  <c r="A3819"/>
  <c r="B3819"/>
  <c r="A3820"/>
  <c r="B3820"/>
  <c r="A3821"/>
  <c r="B3821"/>
  <c r="A3822"/>
  <c r="B3822"/>
  <c r="A3823"/>
  <c r="B3823"/>
  <c r="A3824"/>
  <c r="B3824"/>
  <c r="A3825"/>
  <c r="B3825"/>
  <c r="A3826"/>
  <c r="B3826"/>
  <c r="A3827"/>
  <c r="B3827"/>
  <c r="A3828"/>
  <c r="B3828"/>
  <c r="A3829"/>
  <c r="B3829"/>
  <c r="A3830"/>
  <c r="B3830"/>
  <c r="A3831"/>
  <c r="B3831"/>
  <c r="A3832"/>
  <c r="B3832"/>
  <c r="A3833"/>
  <c r="B3833"/>
  <c r="A3834"/>
  <c r="B3834"/>
  <c r="A3835"/>
  <c r="B3835"/>
  <c r="A3836"/>
  <c r="B3836"/>
  <c r="A3837"/>
  <c r="B3837"/>
  <c r="A3838"/>
  <c r="B3838"/>
  <c r="A3839"/>
  <c r="B3839"/>
  <c r="A3840"/>
  <c r="B3840"/>
  <c r="A3841"/>
  <c r="B3841"/>
  <c r="A3842"/>
  <c r="B3842"/>
  <c r="A3843"/>
  <c r="B3843"/>
  <c r="A3844"/>
  <c r="B3844"/>
  <c r="A3845"/>
  <c r="B3845"/>
  <c r="A3846"/>
  <c r="B3846"/>
  <c r="A3847"/>
  <c r="B3847"/>
  <c r="A3848"/>
  <c r="B3848"/>
  <c r="A3849"/>
  <c r="B3849"/>
  <c r="A3850"/>
  <c r="B3850"/>
  <c r="A3851"/>
  <c r="B3851"/>
  <c r="A3852"/>
  <c r="B3852"/>
  <c r="A3853"/>
  <c r="B3853"/>
  <c r="A3854"/>
  <c r="B3854"/>
  <c r="A3855"/>
  <c r="B3855"/>
  <c r="A3856"/>
  <c r="B3856"/>
  <c r="A3857"/>
  <c r="B3857"/>
  <c r="A3858"/>
  <c r="B3858"/>
  <c r="A3859"/>
  <c r="B3859"/>
  <c r="A3860"/>
  <c r="B3860"/>
  <c r="A3861"/>
  <c r="B3861"/>
  <c r="A3862"/>
  <c r="B3862"/>
  <c r="A3863"/>
  <c r="B3863"/>
  <c r="A3864"/>
  <c r="B3864"/>
  <c r="A3865"/>
  <c r="B3865"/>
  <c r="A3866"/>
  <c r="B3866"/>
  <c r="A3867"/>
  <c r="B3867"/>
  <c r="A3868"/>
  <c r="B3868"/>
  <c r="A3869"/>
  <c r="B3869"/>
  <c r="A3870"/>
  <c r="B3870"/>
  <c r="A3871"/>
  <c r="B3871"/>
  <c r="A3872"/>
  <c r="B3872"/>
  <c r="A3873"/>
  <c r="B3873"/>
  <c r="A3874"/>
  <c r="B3874"/>
  <c r="A3875"/>
  <c r="B3875"/>
  <c r="A3876"/>
  <c r="B3876"/>
  <c r="A3877"/>
  <c r="B3877"/>
  <c r="A3878"/>
  <c r="B3878"/>
  <c r="A3879"/>
  <c r="B3879"/>
  <c r="A3880"/>
  <c r="B3880"/>
  <c r="A3881"/>
  <c r="B3881"/>
  <c r="A3882"/>
  <c r="B3882"/>
  <c r="A3883"/>
  <c r="B3883"/>
  <c r="A3884"/>
  <c r="B3884"/>
  <c r="A3885"/>
  <c r="B3885"/>
  <c r="A3886"/>
  <c r="B3886"/>
  <c r="A3887"/>
  <c r="B3887"/>
  <c r="A3888"/>
  <c r="B3888"/>
  <c r="A3889"/>
  <c r="B3889"/>
  <c r="A3890"/>
  <c r="B3890"/>
  <c r="A3891"/>
  <c r="B3891"/>
  <c r="A3892"/>
  <c r="B3892"/>
  <c r="A3893"/>
  <c r="B3893"/>
  <c r="A3894"/>
  <c r="B3894"/>
  <c r="A3895"/>
  <c r="B3895"/>
  <c r="A3896"/>
  <c r="B3896"/>
  <c r="A3897"/>
  <c r="B3897"/>
  <c r="A3898"/>
  <c r="B3898"/>
  <c r="A3899"/>
  <c r="B3899"/>
  <c r="A3900"/>
  <c r="B3900"/>
  <c r="A3901"/>
  <c r="B3901"/>
  <c r="A3902"/>
  <c r="B3902"/>
  <c r="A3903"/>
  <c r="B3903"/>
  <c r="A3904"/>
  <c r="B3904"/>
  <c r="A3905"/>
  <c r="B3905"/>
  <c r="A3906"/>
  <c r="B3906"/>
  <c r="A3907"/>
  <c r="B3907"/>
  <c r="A3908"/>
  <c r="B3908"/>
  <c r="A3909"/>
  <c r="B3909"/>
  <c r="A3910"/>
  <c r="B3910"/>
  <c r="A3911"/>
  <c r="B3911"/>
  <c r="A3912"/>
  <c r="B3912"/>
  <c r="A3913"/>
  <c r="B3913"/>
  <c r="A3914"/>
  <c r="B3914"/>
  <c r="A3915"/>
  <c r="B3915"/>
  <c r="A3916"/>
  <c r="B3916"/>
  <c r="A3917"/>
  <c r="B3917"/>
  <c r="A3918"/>
  <c r="B3918"/>
  <c r="A3919"/>
  <c r="B3919"/>
  <c r="A3920"/>
  <c r="B3920"/>
  <c r="A3921"/>
  <c r="B3921"/>
  <c r="A3922"/>
  <c r="B3922"/>
  <c r="A3923"/>
  <c r="B3923"/>
  <c r="A3924"/>
  <c r="B3924"/>
  <c r="A3925"/>
  <c r="B3925"/>
  <c r="A3926"/>
  <c r="B3926"/>
  <c r="A3927"/>
  <c r="B3927"/>
  <c r="A3928"/>
  <c r="B3928"/>
  <c r="A3929"/>
  <c r="B3929"/>
  <c r="A3930"/>
  <c r="B3930"/>
  <c r="A3931"/>
  <c r="B3931"/>
  <c r="A3932"/>
  <c r="B3932"/>
  <c r="A3933"/>
  <c r="B3933"/>
  <c r="A3934"/>
  <c r="B3934"/>
  <c r="A3935"/>
  <c r="B3935"/>
  <c r="A3936"/>
  <c r="B3936"/>
  <c r="A3937"/>
  <c r="B3937"/>
  <c r="A3938"/>
  <c r="B3938"/>
  <c r="A3939"/>
  <c r="B3939"/>
  <c r="A3940"/>
  <c r="B3940"/>
  <c r="A3941"/>
  <c r="B3941"/>
  <c r="A3942"/>
  <c r="B3942"/>
  <c r="A3943"/>
  <c r="B3943"/>
  <c r="A3944"/>
  <c r="B3944"/>
  <c r="A3945"/>
  <c r="B3945"/>
  <c r="A3946"/>
  <c r="B3946"/>
  <c r="A3947"/>
  <c r="B3947"/>
  <c r="A3948"/>
  <c r="B3948"/>
  <c r="A3949"/>
  <c r="B3949"/>
  <c r="A3950"/>
  <c r="B3950"/>
  <c r="A3951"/>
  <c r="B3951"/>
  <c r="A3952"/>
  <c r="B3952"/>
  <c r="A3953"/>
  <c r="B3953"/>
  <c r="A3954"/>
  <c r="B3954"/>
  <c r="A3955"/>
  <c r="B3955"/>
  <c r="A3956"/>
  <c r="B3956"/>
  <c r="A3957"/>
  <c r="B3957"/>
  <c r="A3958"/>
  <c r="B3958"/>
  <c r="A3959"/>
  <c r="B3959"/>
  <c r="A3960"/>
  <c r="B3960"/>
  <c r="A3961"/>
  <c r="B3961"/>
  <c r="A3962"/>
  <c r="B3962"/>
  <c r="A3963"/>
  <c r="B3963"/>
  <c r="A3964"/>
  <c r="B3964"/>
  <c r="A3965"/>
  <c r="B3965"/>
  <c r="A3966"/>
  <c r="B3966"/>
  <c r="A3967"/>
  <c r="B3967"/>
  <c r="A3968"/>
  <c r="B3968"/>
  <c r="A3969"/>
  <c r="B3969"/>
  <c r="A3970"/>
  <c r="B3970"/>
  <c r="A3971"/>
  <c r="B3971"/>
  <c r="A3972"/>
  <c r="B3972"/>
  <c r="A3973"/>
  <c r="B3973"/>
  <c r="A3974"/>
  <c r="B3974"/>
  <c r="A3975"/>
  <c r="B3975"/>
  <c r="A3976"/>
  <c r="B3976"/>
  <c r="A3977"/>
  <c r="B3977"/>
  <c r="A3978"/>
  <c r="B3978"/>
  <c r="A3979"/>
  <c r="B3979"/>
  <c r="A3980"/>
  <c r="B3980"/>
  <c r="A3981"/>
  <c r="B3981"/>
  <c r="A3982"/>
  <c r="B3982"/>
  <c r="A3983"/>
  <c r="B3983"/>
  <c r="A3984"/>
  <c r="B3984"/>
  <c r="A3985"/>
  <c r="B3985"/>
  <c r="A3986"/>
  <c r="B3986"/>
  <c r="A3987"/>
  <c r="B3987"/>
  <c r="A3988"/>
  <c r="B3988"/>
  <c r="A3989"/>
  <c r="B3989"/>
  <c r="A3990"/>
  <c r="B3990"/>
  <c r="A3991"/>
  <c r="B3991"/>
  <c r="A3992"/>
  <c r="B3992"/>
  <c r="A3993"/>
  <c r="B3993"/>
  <c r="A3994"/>
  <c r="B3994"/>
  <c r="A3995"/>
  <c r="B3995"/>
  <c r="A3996"/>
  <c r="B3996"/>
  <c r="A3997"/>
  <c r="B3997"/>
  <c r="A3998"/>
  <c r="B3998"/>
  <c r="A3999"/>
  <c r="B3999"/>
  <c r="A4000"/>
  <c r="B4000"/>
  <c r="A4001"/>
  <c r="B4001"/>
  <c r="A4002"/>
  <c r="B4002"/>
  <c r="A4003"/>
  <c r="B4003"/>
  <c r="A4004"/>
  <c r="B4004"/>
  <c r="A4005"/>
  <c r="B4005"/>
  <c r="A4006"/>
  <c r="B4006"/>
  <c r="A4007"/>
  <c r="B4007"/>
  <c r="A4008"/>
  <c r="B4008"/>
  <c r="A4009"/>
  <c r="B4009"/>
  <c r="A4010"/>
  <c r="B4010"/>
  <c r="A4011"/>
  <c r="B4011"/>
  <c r="A4012"/>
  <c r="B4012"/>
  <c r="A4013"/>
  <c r="B4013"/>
  <c r="A4014"/>
  <c r="B4014"/>
  <c r="A4015"/>
  <c r="B4015"/>
  <c r="A4016"/>
  <c r="B4016"/>
  <c r="A4017"/>
  <c r="B4017"/>
  <c r="A4018"/>
  <c r="B4018"/>
  <c r="A4019"/>
  <c r="B4019"/>
  <c r="A4020"/>
  <c r="B4020"/>
  <c r="A4021"/>
  <c r="B4021"/>
  <c r="A4022"/>
  <c r="B4022"/>
  <c r="A4023"/>
  <c r="B4023"/>
  <c r="A4024"/>
  <c r="B4024"/>
  <c r="A4025"/>
  <c r="B4025"/>
  <c r="A4026"/>
  <c r="B4026"/>
  <c r="A4027"/>
  <c r="B4027"/>
  <c r="A4028"/>
  <c r="B4028"/>
  <c r="A4029"/>
  <c r="B4029"/>
  <c r="A4030"/>
  <c r="B4030"/>
  <c r="A4031"/>
  <c r="B4031"/>
  <c r="A4032"/>
  <c r="B4032"/>
  <c r="A4033"/>
  <c r="B4033"/>
  <c r="A4034"/>
  <c r="B4034"/>
  <c r="A4035"/>
  <c r="B4035"/>
  <c r="A4036"/>
  <c r="B4036"/>
  <c r="A4037"/>
  <c r="B4037"/>
  <c r="A4038"/>
  <c r="B4038"/>
  <c r="A4039"/>
  <c r="B4039"/>
  <c r="A4040"/>
  <c r="B4040"/>
  <c r="A4041"/>
  <c r="B4041"/>
  <c r="A4042"/>
  <c r="B4042"/>
  <c r="A4043"/>
  <c r="B4043"/>
  <c r="A4044"/>
  <c r="B4044"/>
  <c r="A4045"/>
  <c r="B4045"/>
  <c r="A4046"/>
  <c r="B4046"/>
  <c r="A4047"/>
  <c r="B4047"/>
  <c r="A4048"/>
  <c r="B4048"/>
  <c r="A4049"/>
  <c r="B4049"/>
  <c r="A4050"/>
  <c r="B4050"/>
  <c r="A4051"/>
  <c r="B4051"/>
  <c r="A4052"/>
  <c r="B4052"/>
  <c r="A4053"/>
  <c r="B4053"/>
  <c r="A4054"/>
  <c r="B4054"/>
  <c r="A4055"/>
  <c r="B4055"/>
  <c r="A4056"/>
  <c r="B4056"/>
  <c r="A4057"/>
  <c r="B4057"/>
  <c r="A4058"/>
  <c r="B4058"/>
  <c r="A4059"/>
  <c r="B4059"/>
  <c r="A4060"/>
  <c r="B4060"/>
  <c r="A4061"/>
  <c r="B4061"/>
  <c r="A4062"/>
  <c r="B4062"/>
  <c r="A4063"/>
  <c r="B4063"/>
  <c r="A4064"/>
  <c r="B4064"/>
  <c r="A4065"/>
  <c r="B4065"/>
  <c r="A4066"/>
  <c r="B4066"/>
  <c r="A4067"/>
  <c r="B4067"/>
  <c r="A4068"/>
  <c r="B4068"/>
  <c r="A4069"/>
  <c r="B4069"/>
  <c r="A4070"/>
  <c r="B4070"/>
  <c r="A4071"/>
  <c r="B4071"/>
  <c r="A4072"/>
  <c r="B4072"/>
  <c r="A4073"/>
  <c r="B4073"/>
  <c r="A4074"/>
  <c r="B4074"/>
  <c r="A4075"/>
  <c r="B4075"/>
  <c r="A4076"/>
  <c r="B4076"/>
  <c r="A4077"/>
  <c r="B4077"/>
  <c r="A4078"/>
  <c r="B4078"/>
  <c r="A4079"/>
  <c r="B4079"/>
  <c r="A4080"/>
  <c r="B4080"/>
  <c r="A4081"/>
  <c r="B4081"/>
  <c r="A4082"/>
  <c r="B4082"/>
  <c r="A4083"/>
  <c r="B4083"/>
  <c r="A4084"/>
  <c r="B4084"/>
  <c r="A4085"/>
  <c r="B4085"/>
  <c r="A4086"/>
  <c r="B4086"/>
  <c r="A4087"/>
  <c r="B4087"/>
  <c r="A4088"/>
  <c r="B4088"/>
  <c r="A4089"/>
  <c r="B4089"/>
  <c r="A4090"/>
  <c r="B4090"/>
  <c r="A4091"/>
  <c r="B4091"/>
  <c r="A4092"/>
  <c r="B4092"/>
  <c r="A4093"/>
  <c r="B4093"/>
  <c r="A4094"/>
  <c r="B4094"/>
  <c r="A4095"/>
  <c r="B4095"/>
  <c r="A4096"/>
  <c r="B4096"/>
  <c r="A4097"/>
  <c r="B4097"/>
  <c r="A4098"/>
  <c r="B4098"/>
  <c r="A4099"/>
  <c r="B4099"/>
  <c r="A4100"/>
  <c r="B4100"/>
  <c r="A4101"/>
  <c r="B4101"/>
  <c r="A4102"/>
  <c r="B4102"/>
  <c r="A4103"/>
  <c r="B4103"/>
  <c r="A4104"/>
  <c r="B4104"/>
  <c r="A4105"/>
  <c r="B4105"/>
  <c r="A4106"/>
  <c r="B4106"/>
  <c r="A4107"/>
  <c r="B4107"/>
  <c r="A4108"/>
  <c r="B4108"/>
  <c r="A4109"/>
  <c r="B4109"/>
  <c r="A4110"/>
  <c r="B4110"/>
  <c r="A4111"/>
  <c r="B4111"/>
  <c r="A4112"/>
  <c r="B4112"/>
  <c r="A4113"/>
  <c r="B4113"/>
  <c r="A4114"/>
  <c r="B4114"/>
  <c r="A4115"/>
  <c r="B4115"/>
  <c r="A4116"/>
  <c r="B4116"/>
  <c r="A4117"/>
  <c r="B4117"/>
  <c r="A4118"/>
  <c r="B4118"/>
  <c r="A4119"/>
  <c r="B4119"/>
  <c r="A4120"/>
  <c r="B4120"/>
  <c r="A4121"/>
  <c r="B4121"/>
  <c r="A4122"/>
  <c r="B4122"/>
  <c r="A4123"/>
  <c r="B4123"/>
  <c r="A4124"/>
  <c r="B4124"/>
  <c r="A4125"/>
  <c r="B4125"/>
  <c r="A4126"/>
  <c r="B4126"/>
  <c r="A4127"/>
  <c r="B4127"/>
  <c r="A4128"/>
  <c r="B4128"/>
  <c r="A4129"/>
  <c r="B4129"/>
  <c r="A4130"/>
  <c r="B4130"/>
  <c r="A4131"/>
  <c r="B4131"/>
  <c r="A4132"/>
  <c r="B4132"/>
  <c r="A4133"/>
  <c r="B4133"/>
  <c r="A4134"/>
  <c r="B4134"/>
  <c r="A4135"/>
  <c r="B4135"/>
  <c r="A4136"/>
  <c r="B4136"/>
  <c r="A4137"/>
  <c r="B4137"/>
  <c r="A4138"/>
  <c r="B4138"/>
  <c r="A4139"/>
  <c r="B4139"/>
  <c r="A4140"/>
  <c r="B4140"/>
  <c r="A4141"/>
  <c r="B4141"/>
  <c r="A4142"/>
  <c r="B4142"/>
  <c r="A4143"/>
  <c r="B4143"/>
  <c r="A4144"/>
  <c r="B4144"/>
  <c r="A4145"/>
  <c r="B4145"/>
  <c r="A4146"/>
  <c r="B4146"/>
  <c r="A4147"/>
  <c r="B4147"/>
  <c r="A4148"/>
  <c r="B4148"/>
  <c r="A4149"/>
  <c r="B4149"/>
  <c r="A4150"/>
  <c r="B4150"/>
  <c r="A4151"/>
  <c r="B4151"/>
  <c r="A4152"/>
  <c r="B4152"/>
  <c r="A4153"/>
  <c r="B4153"/>
  <c r="A4154"/>
  <c r="B4154"/>
  <c r="A4155"/>
  <c r="B4155"/>
  <c r="A4156"/>
  <c r="B4156"/>
  <c r="A4157"/>
  <c r="B4157"/>
  <c r="A4158"/>
  <c r="B4158"/>
  <c r="A4159"/>
  <c r="B4159"/>
  <c r="A4160"/>
  <c r="B4160"/>
  <c r="A4161"/>
  <c r="B4161"/>
  <c r="A4162"/>
  <c r="B4162"/>
  <c r="A4163"/>
  <c r="B4163"/>
  <c r="A4164"/>
  <c r="B4164"/>
  <c r="A4165"/>
  <c r="B4165"/>
  <c r="A4166"/>
  <c r="B4166"/>
  <c r="A4167"/>
  <c r="B4167"/>
  <c r="A4168"/>
  <c r="B4168"/>
  <c r="A4169"/>
  <c r="B4169"/>
  <c r="A4170"/>
  <c r="B4170"/>
  <c r="A4171"/>
  <c r="B4171"/>
  <c r="A4172"/>
  <c r="B4172"/>
  <c r="A4173"/>
  <c r="B4173"/>
  <c r="A4174"/>
  <c r="B4174"/>
  <c r="A4175"/>
  <c r="B4175"/>
  <c r="A4176"/>
  <c r="B4176"/>
  <c r="A4177"/>
  <c r="B4177"/>
  <c r="A4178"/>
  <c r="B4178"/>
  <c r="A4179"/>
  <c r="B4179"/>
  <c r="A4180"/>
  <c r="B4180"/>
  <c r="A4181"/>
  <c r="B4181"/>
  <c r="A4182"/>
  <c r="B4182"/>
  <c r="A4183"/>
  <c r="B4183"/>
  <c r="A4184"/>
  <c r="B4184"/>
  <c r="A4185"/>
  <c r="B4185"/>
  <c r="A4186"/>
  <c r="B4186"/>
  <c r="A4187"/>
  <c r="B4187"/>
  <c r="A4188"/>
  <c r="B4188"/>
  <c r="A4189"/>
  <c r="B4189"/>
  <c r="A4190"/>
  <c r="B4190"/>
  <c r="A4191"/>
  <c r="B4191"/>
  <c r="A4192"/>
  <c r="B4192"/>
  <c r="A4193"/>
  <c r="B4193"/>
  <c r="A4194"/>
  <c r="B4194"/>
  <c r="A4195"/>
  <c r="B4195"/>
  <c r="A4196"/>
  <c r="B4196"/>
  <c r="A4197"/>
  <c r="B4197"/>
  <c r="A4198"/>
  <c r="B4198"/>
  <c r="A4199"/>
  <c r="B4199"/>
  <c r="A4200"/>
  <c r="B4200"/>
  <c r="A4201"/>
  <c r="B4201"/>
  <c r="A4202"/>
  <c r="B4202"/>
  <c r="A4203"/>
  <c r="B4203"/>
  <c r="A4204"/>
  <c r="B4204"/>
  <c r="A4205"/>
  <c r="B4205"/>
  <c r="A4206"/>
  <c r="B4206"/>
  <c r="A4207"/>
  <c r="B4207"/>
  <c r="A4208"/>
  <c r="B4208"/>
  <c r="A4209"/>
  <c r="B4209"/>
  <c r="A4210"/>
  <c r="B4210"/>
  <c r="A4211"/>
  <c r="B4211"/>
  <c r="A4212"/>
  <c r="B4212"/>
  <c r="A4213"/>
  <c r="B4213"/>
  <c r="A4214"/>
  <c r="B4214"/>
  <c r="A4215"/>
  <c r="B4215"/>
  <c r="A4216"/>
  <c r="B4216"/>
  <c r="A4217"/>
  <c r="B4217"/>
  <c r="A4218"/>
  <c r="B4218"/>
  <c r="A4219"/>
  <c r="B4219"/>
  <c r="A4220"/>
  <c r="B4220"/>
  <c r="A4221"/>
  <c r="B4221"/>
  <c r="A4222"/>
  <c r="B4222"/>
  <c r="A4223"/>
  <c r="B4223"/>
  <c r="A4224"/>
  <c r="B4224"/>
  <c r="A4225"/>
  <c r="B4225"/>
  <c r="A4226"/>
  <c r="B4226"/>
  <c r="A4227"/>
  <c r="B4227"/>
  <c r="A4228"/>
  <c r="B4228"/>
  <c r="A4229"/>
  <c r="B4229"/>
  <c r="A4230"/>
  <c r="B4230"/>
  <c r="A4231"/>
  <c r="B4231"/>
  <c r="A4232"/>
  <c r="B4232"/>
  <c r="A4233"/>
  <c r="B4233"/>
  <c r="A4234"/>
  <c r="B4234"/>
  <c r="A4235"/>
  <c r="B4235"/>
  <c r="A4236"/>
  <c r="B4236"/>
  <c r="A4237"/>
  <c r="B4237"/>
  <c r="A4238"/>
  <c r="B4238"/>
  <c r="A4239"/>
  <c r="B4239"/>
  <c r="A4240"/>
  <c r="B4240"/>
  <c r="A4241"/>
  <c r="B4241"/>
  <c r="A4242"/>
  <c r="B4242"/>
  <c r="A4243"/>
  <c r="B4243"/>
  <c r="A4244"/>
  <c r="B4244"/>
  <c r="A4245"/>
  <c r="B4245"/>
  <c r="A4246"/>
  <c r="B4246"/>
  <c r="A4247"/>
  <c r="B4247"/>
  <c r="A4248"/>
  <c r="B4248"/>
  <c r="A4249"/>
  <c r="B4249"/>
  <c r="A4250"/>
  <c r="B4250"/>
  <c r="A4251"/>
  <c r="B4251"/>
  <c r="A4252"/>
  <c r="B4252"/>
  <c r="A4253"/>
  <c r="B4253"/>
  <c r="A4254"/>
  <c r="B4254"/>
  <c r="A4255"/>
  <c r="B4255"/>
  <c r="A4256"/>
  <c r="B4256"/>
  <c r="A4257"/>
  <c r="B4257"/>
  <c r="A4258"/>
  <c r="B4258"/>
  <c r="A4259"/>
  <c r="B4259"/>
  <c r="A4260"/>
  <c r="B4260"/>
  <c r="A4261"/>
  <c r="B4261"/>
  <c r="A4262"/>
  <c r="B4262"/>
  <c r="A4263"/>
  <c r="B4263"/>
  <c r="A4264"/>
  <c r="B4264"/>
  <c r="A4265"/>
  <c r="B4265"/>
  <c r="A4266"/>
  <c r="B4266"/>
  <c r="A4267"/>
  <c r="B4267"/>
  <c r="A4268"/>
  <c r="B4268"/>
  <c r="A4269"/>
  <c r="B4269"/>
  <c r="A4270"/>
  <c r="B4270"/>
  <c r="A4271"/>
  <c r="B4271"/>
  <c r="A4272"/>
  <c r="B4272"/>
  <c r="A4273"/>
  <c r="B4273"/>
  <c r="A4274"/>
  <c r="B4274"/>
  <c r="A4275"/>
  <c r="B4275"/>
  <c r="A4276"/>
  <c r="B4276"/>
  <c r="A4277"/>
  <c r="B4277"/>
  <c r="A4278"/>
  <c r="B4278"/>
  <c r="A4279"/>
  <c r="B4279"/>
  <c r="A4280"/>
  <c r="B4280"/>
  <c r="A4281"/>
  <c r="B4281"/>
  <c r="A4282"/>
  <c r="B4282"/>
  <c r="A4283"/>
  <c r="B4283"/>
  <c r="A4284"/>
  <c r="B4284"/>
  <c r="A4285"/>
  <c r="B4285"/>
  <c r="A4286"/>
  <c r="B4286"/>
  <c r="A4287"/>
  <c r="B4287"/>
  <c r="A4288"/>
  <c r="B4288"/>
  <c r="A4289"/>
  <c r="B4289"/>
  <c r="A4290"/>
  <c r="B4290"/>
  <c r="A4291"/>
  <c r="B4291"/>
  <c r="A4292"/>
  <c r="B4292"/>
  <c r="A4293"/>
  <c r="B4293"/>
  <c r="A4294"/>
  <c r="B4294"/>
  <c r="A4295"/>
  <c r="B4295"/>
  <c r="A4296"/>
  <c r="B4296"/>
  <c r="A4297"/>
  <c r="B4297"/>
  <c r="A4298"/>
  <c r="B4298"/>
  <c r="A4299"/>
  <c r="B4299"/>
  <c r="A4300"/>
  <c r="B4300"/>
  <c r="A4301"/>
  <c r="B4301"/>
  <c r="A4302"/>
  <c r="B4302"/>
  <c r="A4303"/>
  <c r="B4303"/>
  <c r="A4304"/>
  <c r="B4304"/>
  <c r="A4305"/>
  <c r="B4305"/>
  <c r="A4306"/>
  <c r="B4306"/>
  <c r="A4307"/>
  <c r="B4307"/>
  <c r="A4308"/>
  <c r="B4308"/>
  <c r="A4309"/>
  <c r="B4309"/>
  <c r="A4310"/>
  <c r="B4310"/>
  <c r="A4311"/>
  <c r="B4311"/>
  <c r="A4312"/>
  <c r="B4312"/>
  <c r="A4313"/>
  <c r="B4313"/>
  <c r="A4314"/>
  <c r="B4314"/>
  <c r="A4315"/>
  <c r="B4315"/>
  <c r="A4316"/>
  <c r="B4316"/>
  <c r="A4317"/>
  <c r="B4317"/>
  <c r="A4318"/>
  <c r="B4318"/>
  <c r="A4319"/>
  <c r="B4319"/>
  <c r="A4320"/>
  <c r="B4320"/>
  <c r="A4321"/>
  <c r="B4321"/>
  <c r="A4322"/>
  <c r="B4322"/>
  <c r="A4323"/>
  <c r="B4323"/>
  <c r="A4324"/>
  <c r="B4324"/>
  <c r="A4325"/>
  <c r="B4325"/>
  <c r="A4326"/>
  <c r="B4326"/>
  <c r="A4327"/>
  <c r="B4327"/>
  <c r="A4328"/>
  <c r="B4328"/>
  <c r="A4329"/>
  <c r="B4329"/>
  <c r="A4330"/>
  <c r="B4330"/>
  <c r="A4331"/>
  <c r="B4331"/>
  <c r="A4332"/>
  <c r="B4332"/>
  <c r="A4333"/>
  <c r="B4333"/>
  <c r="A4334"/>
  <c r="B4334"/>
  <c r="A4335"/>
  <c r="B4335"/>
  <c r="A4336"/>
  <c r="B4336"/>
  <c r="A4337"/>
  <c r="B4337"/>
  <c r="A4338"/>
  <c r="B4338"/>
  <c r="A4339"/>
  <c r="B4339"/>
  <c r="A4340"/>
  <c r="B4340"/>
  <c r="A4341"/>
  <c r="B4341"/>
  <c r="A4342"/>
  <c r="B4342"/>
  <c r="A4343"/>
  <c r="B4343"/>
  <c r="A4344"/>
  <c r="B4344"/>
  <c r="A4345"/>
  <c r="B4345"/>
  <c r="A4346"/>
  <c r="B4346"/>
  <c r="A4347"/>
  <c r="B4347"/>
  <c r="A4348"/>
  <c r="B4348"/>
  <c r="A4349"/>
  <c r="B4349"/>
  <c r="A4350"/>
  <c r="B4350"/>
  <c r="A4351"/>
  <c r="B4351"/>
  <c r="A4352"/>
  <c r="B4352"/>
  <c r="A4353"/>
  <c r="B4353"/>
  <c r="A4354"/>
  <c r="B4354"/>
  <c r="A4355"/>
  <c r="B4355"/>
  <c r="A4356"/>
  <c r="B4356"/>
  <c r="A4357"/>
  <c r="B4357"/>
  <c r="A4358"/>
  <c r="B4358"/>
  <c r="A4359"/>
  <c r="B4359"/>
  <c r="A4360"/>
  <c r="B4360"/>
  <c r="A4361"/>
  <c r="B4361"/>
  <c r="A4362"/>
  <c r="B4362"/>
  <c r="A4363"/>
  <c r="B4363"/>
  <c r="A4364"/>
  <c r="B4364"/>
  <c r="A4365"/>
  <c r="B4365"/>
  <c r="A4366"/>
  <c r="B4366"/>
  <c r="A4367"/>
  <c r="B4367"/>
  <c r="A4368"/>
  <c r="B4368"/>
  <c r="A4369"/>
  <c r="B4369"/>
  <c r="A4370"/>
  <c r="B4370"/>
  <c r="A4371"/>
  <c r="B4371"/>
  <c r="A4372"/>
  <c r="B4372"/>
  <c r="A4373"/>
  <c r="B4373"/>
  <c r="A4374"/>
  <c r="B4374"/>
  <c r="A4375"/>
  <c r="B4375"/>
  <c r="A4376"/>
  <c r="B4376"/>
  <c r="A4377"/>
  <c r="B4377"/>
  <c r="A4378"/>
  <c r="B4378"/>
  <c r="A4379"/>
  <c r="B4379"/>
  <c r="A4380"/>
  <c r="B4380"/>
  <c r="A4381"/>
  <c r="B4381"/>
  <c r="A4382"/>
  <c r="B4382"/>
  <c r="A4383"/>
  <c r="B4383"/>
  <c r="A4384"/>
  <c r="B4384"/>
  <c r="A4385"/>
  <c r="B4385"/>
  <c r="A4386"/>
  <c r="B4386"/>
  <c r="A4387"/>
  <c r="B4387"/>
  <c r="A4388"/>
  <c r="B4388"/>
  <c r="A4389"/>
  <c r="B4389"/>
  <c r="A4390"/>
  <c r="B4390"/>
  <c r="A4391"/>
  <c r="B4391"/>
  <c r="A4392"/>
  <c r="B4392"/>
  <c r="A4393"/>
  <c r="B4393"/>
  <c r="A4394"/>
  <c r="B4394"/>
  <c r="A4395"/>
  <c r="B4395"/>
  <c r="A4396"/>
  <c r="B4396"/>
  <c r="A4397"/>
  <c r="B4397"/>
  <c r="A4398"/>
  <c r="B4398"/>
  <c r="A4399"/>
  <c r="B4399"/>
  <c r="A4400"/>
  <c r="B4400"/>
  <c r="A4401"/>
  <c r="B4401"/>
  <c r="A4402"/>
  <c r="B4402"/>
  <c r="A4403"/>
  <c r="B4403"/>
  <c r="A4404"/>
  <c r="B4404"/>
  <c r="A4405"/>
  <c r="B4405"/>
  <c r="A4406"/>
  <c r="B4406"/>
  <c r="A4407"/>
  <c r="B4407"/>
  <c r="A4408"/>
  <c r="B4408"/>
  <c r="A4409"/>
  <c r="B4409"/>
  <c r="A4410"/>
  <c r="B4410"/>
  <c r="A4411"/>
  <c r="B4411"/>
  <c r="A4412"/>
  <c r="B4412"/>
  <c r="A4413"/>
  <c r="B4413"/>
  <c r="A4414"/>
  <c r="B4414"/>
  <c r="A4415"/>
  <c r="B4415"/>
  <c r="A4416"/>
  <c r="B4416"/>
  <c r="A4417"/>
  <c r="B4417"/>
  <c r="A4418"/>
  <c r="B4418"/>
  <c r="A4419"/>
  <c r="B4419"/>
  <c r="A4420"/>
  <c r="B4420"/>
  <c r="A4421"/>
  <c r="B4421"/>
  <c r="A4422"/>
  <c r="B4422"/>
  <c r="A4423"/>
  <c r="B4423"/>
  <c r="A4424"/>
  <c r="B4424"/>
  <c r="A4425"/>
  <c r="B4425"/>
  <c r="A4426"/>
  <c r="B4426"/>
  <c r="A4427"/>
  <c r="B4427"/>
  <c r="A4428"/>
  <c r="B4428"/>
  <c r="A4429"/>
  <c r="B4429"/>
  <c r="A4430"/>
  <c r="B4430"/>
  <c r="A4431"/>
  <c r="B4431"/>
  <c r="A4432"/>
  <c r="B4432"/>
  <c r="A4433"/>
  <c r="B4433"/>
  <c r="A4434"/>
  <c r="B4434"/>
  <c r="A4435"/>
  <c r="B4435"/>
  <c r="A4436"/>
  <c r="B4436"/>
  <c r="A4437"/>
  <c r="B4437"/>
  <c r="A4438"/>
  <c r="B4438"/>
  <c r="A4439"/>
  <c r="B4439"/>
  <c r="A4440"/>
  <c r="B4440"/>
  <c r="A4441"/>
  <c r="B4441"/>
  <c r="A4442"/>
  <c r="B4442"/>
  <c r="A4443"/>
  <c r="B4443"/>
  <c r="A4444"/>
  <c r="B4444"/>
  <c r="A4445"/>
  <c r="B4445"/>
  <c r="A4446"/>
  <c r="B4446"/>
  <c r="A4447"/>
  <c r="B4447"/>
  <c r="A4448"/>
  <c r="B4448"/>
  <c r="A4449"/>
  <c r="B4449"/>
  <c r="A4450"/>
  <c r="B4450"/>
  <c r="A4451"/>
  <c r="B4451"/>
  <c r="A4452"/>
  <c r="B4452"/>
  <c r="A4453"/>
  <c r="B4453"/>
  <c r="A4454"/>
  <c r="B4454"/>
  <c r="A4455"/>
  <c r="B4455"/>
  <c r="A4456"/>
  <c r="B4456"/>
  <c r="A4457"/>
  <c r="B4457"/>
  <c r="A4458"/>
  <c r="B4458"/>
  <c r="A4459"/>
  <c r="B4459"/>
  <c r="A4460"/>
  <c r="B4460"/>
  <c r="A4461"/>
  <c r="B4461"/>
  <c r="A4462"/>
  <c r="B4462"/>
  <c r="A4463"/>
  <c r="B4463"/>
  <c r="A4464"/>
  <c r="B4464"/>
  <c r="A4465"/>
  <c r="B4465"/>
  <c r="A4466"/>
  <c r="B4466"/>
  <c r="A4467"/>
  <c r="B4467"/>
  <c r="A4468"/>
  <c r="B4468"/>
  <c r="A4469"/>
  <c r="B4469"/>
  <c r="A4470"/>
  <c r="B4470"/>
  <c r="A4471"/>
  <c r="B4471"/>
  <c r="A4472"/>
  <c r="B4472"/>
  <c r="A4473"/>
  <c r="B4473"/>
  <c r="A4474"/>
  <c r="B4474"/>
  <c r="A4475"/>
  <c r="B4475"/>
  <c r="A4476"/>
  <c r="B4476"/>
  <c r="A4477"/>
  <c r="B4477"/>
  <c r="A4478"/>
  <c r="B4478"/>
  <c r="A4479"/>
  <c r="B4479"/>
  <c r="A4480"/>
  <c r="B4480"/>
  <c r="A4481"/>
  <c r="B4481"/>
  <c r="A4482"/>
  <c r="B4482"/>
  <c r="A4483"/>
  <c r="B4483"/>
  <c r="A4484"/>
  <c r="B4484"/>
  <c r="A4485"/>
  <c r="B4485"/>
  <c r="A4486"/>
  <c r="B4486"/>
  <c r="A4487"/>
  <c r="B4487"/>
  <c r="A4488"/>
  <c r="B4488"/>
  <c r="A4489"/>
  <c r="B4489"/>
  <c r="A4490"/>
  <c r="B4490"/>
  <c r="A4491"/>
  <c r="B4491"/>
  <c r="A4492"/>
  <c r="B4492"/>
  <c r="A4493"/>
  <c r="B4493"/>
  <c r="A4494"/>
  <c r="B4494"/>
  <c r="A4495"/>
  <c r="B4495"/>
  <c r="A4496"/>
  <c r="B4496"/>
  <c r="A4497"/>
  <c r="B4497"/>
  <c r="A4498"/>
  <c r="B4498"/>
  <c r="A4499"/>
  <c r="B4499"/>
  <c r="A4500"/>
  <c r="B4500"/>
  <c r="A4501"/>
  <c r="B4501"/>
  <c r="A4502"/>
  <c r="B4502"/>
  <c r="A4503"/>
  <c r="B4503"/>
  <c r="A4504"/>
  <c r="B4504"/>
  <c r="A4505"/>
  <c r="B4505"/>
  <c r="A4506"/>
  <c r="B4506"/>
  <c r="A4507"/>
  <c r="B4507"/>
  <c r="A4508"/>
  <c r="B4508"/>
  <c r="A4509"/>
  <c r="B4509"/>
  <c r="A4510"/>
  <c r="B4510"/>
  <c r="A4511"/>
  <c r="B4511"/>
  <c r="A4512"/>
  <c r="B4512"/>
  <c r="A4513"/>
  <c r="B4513"/>
  <c r="A4514"/>
  <c r="B4514"/>
  <c r="A4515"/>
  <c r="B4515"/>
  <c r="A4516"/>
  <c r="B4516"/>
  <c r="A4517"/>
  <c r="B4517"/>
  <c r="A4518"/>
  <c r="B4518"/>
  <c r="A4519"/>
  <c r="B4519"/>
  <c r="A4520"/>
  <c r="B4520"/>
  <c r="A4521"/>
  <c r="B4521"/>
  <c r="A4522"/>
  <c r="B4522"/>
  <c r="A4523"/>
  <c r="B4523"/>
  <c r="A4524"/>
  <c r="B4524"/>
  <c r="A4525"/>
  <c r="B4525"/>
  <c r="A4526"/>
  <c r="B4526"/>
  <c r="A4527"/>
  <c r="B4527"/>
  <c r="A4528"/>
  <c r="B4528"/>
  <c r="A4529"/>
  <c r="B4529"/>
  <c r="A4530"/>
  <c r="B4530"/>
  <c r="A4531"/>
  <c r="B4531"/>
  <c r="A4532"/>
  <c r="B4532"/>
  <c r="A4533"/>
  <c r="B4533"/>
  <c r="A4534"/>
  <c r="B4534"/>
  <c r="A4535"/>
  <c r="B4535"/>
  <c r="A4536"/>
  <c r="B4536"/>
  <c r="A4537"/>
  <c r="B4537"/>
  <c r="A4538"/>
  <c r="B4538"/>
  <c r="A4539"/>
  <c r="B4539"/>
  <c r="A4540"/>
  <c r="B4540"/>
  <c r="A4541"/>
  <c r="B4541"/>
  <c r="A4542"/>
  <c r="B4542"/>
  <c r="A4543"/>
  <c r="B4543"/>
  <c r="A4544"/>
  <c r="B4544"/>
  <c r="A4545"/>
  <c r="B4545"/>
  <c r="A4546"/>
  <c r="B4546"/>
  <c r="A4547"/>
  <c r="B4547"/>
  <c r="A4548"/>
  <c r="B4548"/>
  <c r="A4549"/>
  <c r="B4549"/>
  <c r="A4550"/>
  <c r="B4550"/>
  <c r="A4551"/>
  <c r="B4551"/>
  <c r="A4552"/>
  <c r="B4552"/>
  <c r="A4553"/>
  <c r="B4553"/>
  <c r="A4554"/>
  <c r="B4554"/>
  <c r="A4555"/>
  <c r="B4555"/>
  <c r="A4556"/>
  <c r="B4556"/>
  <c r="A4557"/>
  <c r="B4557"/>
  <c r="A4558"/>
  <c r="B4558"/>
  <c r="A4559"/>
  <c r="B4559"/>
  <c r="A4560"/>
  <c r="B4560"/>
  <c r="A4561"/>
  <c r="B4561"/>
  <c r="A4562"/>
  <c r="B4562"/>
  <c r="A4563"/>
  <c r="B4563"/>
  <c r="A4564"/>
  <c r="B4564"/>
  <c r="A4565"/>
  <c r="B4565"/>
  <c r="A4566"/>
  <c r="B4566"/>
  <c r="A4567"/>
  <c r="B4567"/>
  <c r="A4568"/>
  <c r="B4568"/>
  <c r="A4569"/>
  <c r="B4569"/>
  <c r="A4570"/>
  <c r="B4570"/>
  <c r="A4571"/>
  <c r="B4571"/>
  <c r="A4572"/>
  <c r="B4572"/>
  <c r="A4573"/>
  <c r="B4573"/>
  <c r="A4574"/>
  <c r="B4574"/>
  <c r="A4575"/>
  <c r="B4575"/>
  <c r="A4576"/>
  <c r="B4576"/>
  <c r="A4577"/>
  <c r="B4577"/>
  <c r="A4578"/>
  <c r="B4578"/>
  <c r="A4579"/>
  <c r="B4579"/>
  <c r="A4580"/>
  <c r="B4580"/>
  <c r="A4581"/>
  <c r="B4581"/>
  <c r="A4582"/>
  <c r="B4582"/>
  <c r="A4583"/>
  <c r="B4583"/>
  <c r="A4584"/>
  <c r="B4584"/>
  <c r="A4585"/>
  <c r="B4585"/>
  <c r="A4586"/>
  <c r="B4586"/>
  <c r="A4587"/>
  <c r="B4587"/>
  <c r="A4588"/>
  <c r="B4588"/>
  <c r="A4589"/>
  <c r="B4589"/>
  <c r="A4590"/>
  <c r="B4590"/>
  <c r="A4591"/>
  <c r="B4591"/>
  <c r="A4592"/>
  <c r="B4592"/>
  <c r="A4593"/>
  <c r="B4593"/>
  <c r="A4594"/>
  <c r="B4594"/>
  <c r="A4595"/>
  <c r="B4595"/>
  <c r="A4596"/>
  <c r="B4596"/>
  <c r="A4597"/>
  <c r="B4597"/>
  <c r="A4598"/>
  <c r="B4598"/>
  <c r="A4599"/>
  <c r="B4599"/>
  <c r="A4600"/>
  <c r="B4600"/>
  <c r="A4601"/>
  <c r="B4601"/>
  <c r="A4602"/>
  <c r="B4602"/>
  <c r="A4603"/>
  <c r="B4603"/>
  <c r="A4604"/>
  <c r="B4604"/>
  <c r="A4605"/>
  <c r="B4605"/>
  <c r="A4606"/>
  <c r="B4606"/>
  <c r="A4607"/>
  <c r="B4607"/>
  <c r="A4608"/>
  <c r="B4608"/>
  <c r="A4609"/>
  <c r="B4609"/>
  <c r="A4610"/>
  <c r="B4610"/>
  <c r="A4611"/>
  <c r="B4611"/>
  <c r="A4612"/>
  <c r="B4612"/>
  <c r="A4613"/>
  <c r="B4613"/>
  <c r="A4614"/>
  <c r="B4614"/>
  <c r="A4615"/>
  <c r="B4615"/>
  <c r="A4616"/>
  <c r="B4616"/>
  <c r="A4617"/>
  <c r="B4617"/>
  <c r="A4618"/>
  <c r="B4618"/>
  <c r="A4619"/>
  <c r="B4619"/>
  <c r="A4620"/>
  <c r="B4620"/>
  <c r="A4621"/>
  <c r="B4621"/>
  <c r="A4622"/>
  <c r="B4622"/>
  <c r="A4623"/>
  <c r="B4623"/>
  <c r="A4624"/>
  <c r="B4624"/>
  <c r="A4625"/>
  <c r="B4625"/>
  <c r="A4626"/>
  <c r="B4626"/>
  <c r="A4627"/>
  <c r="B4627"/>
  <c r="A4628"/>
  <c r="B4628"/>
  <c r="A4629"/>
  <c r="B4629"/>
  <c r="A4630"/>
  <c r="B4630"/>
  <c r="A4631"/>
  <c r="B4631"/>
  <c r="A4632"/>
  <c r="B4632"/>
  <c r="A4633"/>
  <c r="B4633"/>
  <c r="A4634"/>
  <c r="B4634"/>
  <c r="A4635"/>
  <c r="B4635"/>
  <c r="A4636"/>
  <c r="B4636"/>
  <c r="A4637"/>
  <c r="B4637"/>
  <c r="A4638"/>
  <c r="B4638"/>
  <c r="A4639"/>
  <c r="B4639"/>
  <c r="A4640"/>
  <c r="B4640"/>
  <c r="A4641"/>
  <c r="B4641"/>
  <c r="A4642"/>
  <c r="B4642"/>
  <c r="A4643"/>
  <c r="B4643"/>
  <c r="A4644"/>
  <c r="B4644"/>
  <c r="A4645"/>
  <c r="B4645"/>
  <c r="A4646"/>
  <c r="B4646"/>
  <c r="A4647"/>
  <c r="B4647"/>
  <c r="A4648"/>
  <c r="B4648"/>
  <c r="A4649"/>
  <c r="B4649"/>
  <c r="A4650"/>
  <c r="B4650"/>
  <c r="A4651"/>
  <c r="B4651"/>
  <c r="A4652"/>
  <c r="B4652"/>
  <c r="A4653"/>
  <c r="B4653"/>
  <c r="A4654"/>
  <c r="B4654"/>
  <c r="A4655"/>
  <c r="B4655"/>
  <c r="A4656"/>
  <c r="B4656"/>
  <c r="A4657"/>
  <c r="B4657"/>
  <c r="A4658"/>
  <c r="B4658"/>
  <c r="A4659"/>
  <c r="B4659"/>
  <c r="A4660"/>
  <c r="B4660"/>
  <c r="A4661"/>
  <c r="B4661"/>
  <c r="A4662"/>
  <c r="B4662"/>
  <c r="A4663"/>
  <c r="B4663"/>
  <c r="A4664"/>
  <c r="B4664"/>
  <c r="A4665"/>
  <c r="B4665"/>
  <c r="A4666"/>
  <c r="B4666"/>
  <c r="A4667"/>
  <c r="B4667"/>
  <c r="A4668"/>
  <c r="B4668"/>
  <c r="A4669"/>
  <c r="B4669"/>
  <c r="A4670"/>
  <c r="B4670"/>
  <c r="A4671"/>
  <c r="B4671"/>
  <c r="A4672"/>
  <c r="B4672"/>
  <c r="A4673"/>
  <c r="B4673"/>
  <c r="A4674"/>
  <c r="B4674"/>
  <c r="A4675"/>
  <c r="B4675"/>
  <c r="A4676"/>
  <c r="B4676"/>
  <c r="A4677"/>
  <c r="B4677"/>
  <c r="A4678"/>
  <c r="B4678"/>
  <c r="A4679"/>
  <c r="B4679"/>
  <c r="A4680"/>
  <c r="B4680"/>
  <c r="A4681"/>
  <c r="B4681"/>
  <c r="A4682"/>
  <c r="B4682"/>
  <c r="A4683"/>
  <c r="B4683"/>
  <c r="A4684"/>
  <c r="B4684"/>
  <c r="A4685"/>
  <c r="B4685"/>
  <c r="A4686"/>
  <c r="B4686"/>
  <c r="A4687"/>
  <c r="B4687"/>
  <c r="A4688"/>
  <c r="B4688"/>
  <c r="A4689"/>
  <c r="B4689"/>
  <c r="A4690"/>
  <c r="B4690"/>
  <c r="A4691"/>
  <c r="B4691"/>
  <c r="A4692"/>
  <c r="B4692"/>
  <c r="A4693"/>
  <c r="B4693"/>
  <c r="A4694"/>
  <c r="B4694"/>
  <c r="A4695"/>
  <c r="B4695"/>
  <c r="A4696"/>
  <c r="B4696"/>
  <c r="A4697"/>
  <c r="B4697"/>
  <c r="A4698"/>
  <c r="B4698"/>
  <c r="A4699"/>
  <c r="B4699"/>
  <c r="A4700"/>
  <c r="B4700"/>
  <c r="A4701"/>
  <c r="B4701"/>
  <c r="A4702"/>
  <c r="B4702"/>
  <c r="A4703"/>
  <c r="B4703"/>
  <c r="A4704"/>
  <c r="B4704"/>
  <c r="A4705"/>
  <c r="B4705"/>
  <c r="A4706"/>
  <c r="B4706"/>
  <c r="A4707"/>
  <c r="B4707"/>
  <c r="A4708"/>
  <c r="B4708"/>
  <c r="A4709"/>
  <c r="B4709"/>
  <c r="A4710"/>
  <c r="B4710"/>
  <c r="A4711"/>
  <c r="B4711"/>
  <c r="A4712"/>
  <c r="B4712"/>
  <c r="A4713"/>
  <c r="B4713"/>
  <c r="A4714"/>
  <c r="B4714"/>
  <c r="A4715"/>
  <c r="B4715"/>
  <c r="A4716"/>
  <c r="B4716"/>
  <c r="A4717"/>
  <c r="B4717"/>
  <c r="A4718"/>
  <c r="B4718"/>
  <c r="A4719"/>
  <c r="B4719"/>
  <c r="A4720"/>
  <c r="B4720"/>
  <c r="A4721"/>
  <c r="B4721"/>
  <c r="A4722"/>
  <c r="B4722"/>
  <c r="A4723"/>
  <c r="B4723"/>
  <c r="A4724"/>
  <c r="B4724"/>
  <c r="A4725"/>
  <c r="B4725"/>
  <c r="A4726"/>
  <c r="B4726"/>
  <c r="A4727"/>
  <c r="B4727"/>
  <c r="A4728"/>
  <c r="B4728"/>
  <c r="A4729"/>
  <c r="B4729"/>
  <c r="A4730"/>
  <c r="B4730"/>
  <c r="A4731"/>
  <c r="B4731"/>
  <c r="A4732"/>
  <c r="B4732"/>
  <c r="A4733"/>
  <c r="B4733"/>
  <c r="A4734"/>
  <c r="B4734"/>
  <c r="A4735"/>
  <c r="B4735"/>
  <c r="A4736"/>
  <c r="B4736"/>
  <c r="A4737"/>
  <c r="B4737"/>
  <c r="A4738"/>
  <c r="B4738"/>
  <c r="A4739"/>
  <c r="B4739"/>
  <c r="A4740"/>
  <c r="B4740"/>
  <c r="A4741"/>
  <c r="B4741"/>
  <c r="A4742"/>
  <c r="B4742"/>
  <c r="A4743"/>
  <c r="B4743"/>
  <c r="A4744"/>
  <c r="B4744"/>
  <c r="A4745"/>
  <c r="B4745"/>
  <c r="A4746"/>
  <c r="B4746"/>
  <c r="A4747"/>
  <c r="B4747"/>
  <c r="A4748"/>
  <c r="B4748"/>
  <c r="A4749"/>
  <c r="B4749"/>
  <c r="A4750"/>
  <c r="B4750"/>
  <c r="A4751"/>
  <c r="B4751"/>
  <c r="A4752"/>
  <c r="B4752"/>
  <c r="A4753"/>
  <c r="B4753"/>
  <c r="A4754"/>
  <c r="B4754"/>
  <c r="A4755"/>
  <c r="B4755"/>
  <c r="A4756"/>
  <c r="B4756"/>
  <c r="A4757"/>
  <c r="B4757"/>
  <c r="A4758"/>
  <c r="B4758"/>
  <c r="A4759"/>
  <c r="B4759"/>
  <c r="A4760"/>
  <c r="B4760"/>
  <c r="A4761"/>
  <c r="B4761"/>
  <c r="A4762"/>
  <c r="B4762"/>
  <c r="A4763"/>
  <c r="B4763"/>
  <c r="A4764"/>
  <c r="B4764"/>
  <c r="A4765"/>
  <c r="B4765"/>
  <c r="A4766"/>
  <c r="B4766"/>
  <c r="A4767"/>
  <c r="B4767"/>
  <c r="A4768"/>
  <c r="B4768"/>
  <c r="A4769"/>
  <c r="B4769"/>
  <c r="A4770"/>
  <c r="B4770"/>
  <c r="A4771"/>
  <c r="B4771"/>
  <c r="A4772"/>
  <c r="B4772"/>
  <c r="A4773"/>
  <c r="B4773"/>
  <c r="A4774"/>
  <c r="B4774"/>
  <c r="A4775"/>
  <c r="B4775"/>
  <c r="A4776"/>
  <c r="B4776"/>
  <c r="A4777"/>
  <c r="B4777"/>
  <c r="A4778"/>
  <c r="B4778"/>
  <c r="A4779"/>
  <c r="B4779"/>
  <c r="A4780"/>
  <c r="B4780"/>
  <c r="A4781"/>
  <c r="B4781"/>
  <c r="A4782"/>
  <c r="B4782"/>
  <c r="A4783"/>
  <c r="B4783"/>
  <c r="A4784"/>
  <c r="B4784"/>
  <c r="A4785"/>
  <c r="B4785"/>
  <c r="A4786"/>
  <c r="B4786"/>
  <c r="A4787"/>
  <c r="B4787"/>
  <c r="A4788"/>
  <c r="B4788"/>
  <c r="A4789"/>
  <c r="B4789"/>
  <c r="A4790"/>
  <c r="B4790"/>
  <c r="A4791"/>
  <c r="B4791"/>
  <c r="A4792"/>
  <c r="B4792"/>
  <c r="A4793"/>
  <c r="B4793"/>
  <c r="A4794"/>
  <c r="B4794"/>
  <c r="A4795"/>
  <c r="B4795"/>
  <c r="A4796"/>
  <c r="B4796"/>
  <c r="A4797"/>
  <c r="B4797"/>
  <c r="A4798"/>
  <c r="B4798"/>
  <c r="A4799"/>
  <c r="B4799"/>
  <c r="A4800"/>
  <c r="B4800"/>
  <c r="A4801"/>
  <c r="B4801"/>
  <c r="A4802"/>
  <c r="B4802"/>
  <c r="A4803"/>
  <c r="B4803"/>
  <c r="A4804"/>
  <c r="B4804"/>
  <c r="A4805"/>
  <c r="B4805"/>
  <c r="A4806"/>
  <c r="B4806"/>
  <c r="A4807"/>
  <c r="B4807"/>
  <c r="A4808"/>
  <c r="B4808"/>
  <c r="A4809"/>
  <c r="B4809"/>
  <c r="A4810"/>
  <c r="B4810"/>
  <c r="A4811"/>
  <c r="B4811"/>
  <c r="A4812"/>
  <c r="B4812"/>
  <c r="A4813"/>
  <c r="B4813"/>
  <c r="A4814"/>
  <c r="B4814"/>
  <c r="A4815"/>
  <c r="B4815"/>
  <c r="A4816"/>
  <c r="B4816"/>
  <c r="A4817"/>
  <c r="B4817"/>
  <c r="A4818"/>
  <c r="B4818"/>
  <c r="A4819"/>
  <c r="B4819"/>
  <c r="A4820"/>
  <c r="B4820"/>
  <c r="A4821"/>
  <c r="B4821"/>
  <c r="A4822"/>
  <c r="B4822"/>
  <c r="A4823"/>
  <c r="B4823"/>
  <c r="A4824"/>
  <c r="B4824"/>
  <c r="A4825"/>
  <c r="B4825"/>
  <c r="A4826"/>
  <c r="B4826"/>
  <c r="A4827"/>
  <c r="B4827"/>
  <c r="A4828"/>
  <c r="B4828"/>
  <c r="A4829"/>
  <c r="B4829"/>
  <c r="A4830"/>
  <c r="B4830"/>
  <c r="A4831"/>
  <c r="B4831"/>
  <c r="A4832"/>
  <c r="B4832"/>
  <c r="A4833"/>
  <c r="B4833"/>
  <c r="A4834"/>
  <c r="B4834"/>
  <c r="A4835"/>
  <c r="B4835"/>
  <c r="A4836"/>
  <c r="B4836"/>
  <c r="A4837"/>
  <c r="B4837"/>
  <c r="A4838"/>
  <c r="B4838"/>
  <c r="A4839"/>
  <c r="B4839"/>
  <c r="A4840"/>
  <c r="B4840"/>
  <c r="A4841"/>
  <c r="B4841"/>
  <c r="A4842"/>
  <c r="B4842"/>
  <c r="A4843"/>
  <c r="B4843"/>
  <c r="A4844"/>
  <c r="B4844"/>
  <c r="A4845"/>
  <c r="B4845"/>
  <c r="A4846"/>
  <c r="B4846"/>
  <c r="A4847"/>
  <c r="B4847"/>
  <c r="A4848"/>
  <c r="B4848"/>
  <c r="A4849"/>
  <c r="B4849"/>
  <c r="A4850"/>
  <c r="B4850"/>
  <c r="A4851"/>
  <c r="B4851"/>
  <c r="A4852"/>
  <c r="B4852"/>
  <c r="A4853"/>
  <c r="B4853"/>
  <c r="A4854"/>
  <c r="B4854"/>
  <c r="A4855"/>
  <c r="B4855"/>
  <c r="A4856"/>
  <c r="B4856"/>
  <c r="A4857"/>
  <c r="B4857"/>
  <c r="A4858"/>
  <c r="B4858"/>
  <c r="A4859"/>
  <c r="B4859"/>
  <c r="A4860"/>
  <c r="B4860"/>
  <c r="A4861"/>
  <c r="B4861"/>
  <c r="A4862"/>
  <c r="B4862"/>
  <c r="A4863"/>
  <c r="B4863"/>
  <c r="A4864"/>
  <c r="B4864"/>
  <c r="A4865"/>
  <c r="B4865"/>
  <c r="A4866"/>
  <c r="B4866"/>
  <c r="A4867"/>
  <c r="B4867"/>
  <c r="A4868"/>
  <c r="B4868"/>
  <c r="A4869"/>
  <c r="B4869"/>
  <c r="A4870"/>
  <c r="B4870"/>
  <c r="A4871"/>
  <c r="B4871"/>
  <c r="A4872"/>
  <c r="B4872"/>
  <c r="A4873"/>
  <c r="B4873"/>
  <c r="A4874"/>
  <c r="B4874"/>
  <c r="A4875"/>
  <c r="B4875"/>
  <c r="A4876"/>
  <c r="B4876"/>
  <c r="A4877"/>
  <c r="B4877"/>
  <c r="A4878"/>
  <c r="B4878"/>
  <c r="A4879"/>
  <c r="B4879"/>
  <c r="A4880"/>
  <c r="B4880"/>
  <c r="A4881"/>
  <c r="B4881"/>
  <c r="A4882"/>
  <c r="B4882"/>
  <c r="A4883"/>
  <c r="B4883"/>
  <c r="A4884"/>
  <c r="B4884"/>
  <c r="A4885"/>
  <c r="B4885"/>
  <c r="A4886"/>
  <c r="B4886"/>
  <c r="A4887"/>
  <c r="B4887"/>
  <c r="A4888"/>
  <c r="B4888"/>
  <c r="A4889"/>
  <c r="B4889"/>
  <c r="A4890"/>
  <c r="B4890"/>
  <c r="A4891"/>
  <c r="B4891"/>
  <c r="A4892"/>
  <c r="B4892"/>
  <c r="A4893"/>
  <c r="B4893"/>
  <c r="A4894"/>
  <c r="B4894"/>
  <c r="A4895"/>
  <c r="B4895"/>
  <c r="A4896"/>
  <c r="B4896"/>
  <c r="A4897"/>
  <c r="B4897"/>
  <c r="A4898"/>
  <c r="B4898"/>
  <c r="A4899"/>
  <c r="B4899"/>
  <c r="A4900"/>
  <c r="B4900"/>
  <c r="A4901"/>
  <c r="B4901"/>
  <c r="A4902"/>
  <c r="B4902"/>
  <c r="A4903"/>
  <c r="B4903"/>
  <c r="A4904"/>
  <c r="B4904"/>
  <c r="A4905"/>
  <c r="B4905"/>
  <c r="A4906"/>
  <c r="B4906"/>
  <c r="A4907"/>
  <c r="B4907"/>
  <c r="A4908"/>
  <c r="B4908"/>
  <c r="A4909"/>
  <c r="B4909"/>
  <c r="A4910"/>
  <c r="B4910"/>
  <c r="A4911"/>
  <c r="B4911"/>
  <c r="A4912"/>
  <c r="B4912"/>
  <c r="A4913"/>
  <c r="B4913"/>
  <c r="A4914"/>
  <c r="B4914"/>
  <c r="A4915"/>
  <c r="B4915"/>
  <c r="A4916"/>
  <c r="B4916"/>
  <c r="A4917"/>
  <c r="B4917"/>
  <c r="A4918"/>
  <c r="B4918"/>
  <c r="A4919"/>
  <c r="B4919"/>
  <c r="A4920"/>
  <c r="B4920"/>
  <c r="A4921"/>
  <c r="B4921"/>
  <c r="A4922"/>
  <c r="B4922"/>
  <c r="A4923"/>
  <c r="B4923"/>
  <c r="A4924"/>
  <c r="B4924"/>
  <c r="A4925"/>
  <c r="B4925"/>
  <c r="A4926"/>
  <c r="B4926"/>
  <c r="A4927"/>
  <c r="B4927"/>
  <c r="A4928"/>
  <c r="B4928"/>
  <c r="A4929"/>
  <c r="B4929"/>
  <c r="A4930"/>
  <c r="B4930"/>
  <c r="A4931"/>
  <c r="B4931"/>
  <c r="A4932"/>
  <c r="B4932"/>
  <c r="A4933"/>
  <c r="B4933"/>
  <c r="A4934"/>
  <c r="B4934"/>
  <c r="A4935"/>
  <c r="B4935"/>
  <c r="A4936"/>
  <c r="B4936"/>
  <c r="A4937"/>
  <c r="B4937"/>
  <c r="A4938"/>
  <c r="B4938"/>
  <c r="A4939"/>
  <c r="B4939"/>
  <c r="A4940"/>
  <c r="B4940"/>
  <c r="A4941"/>
  <c r="B4941"/>
  <c r="A4942"/>
  <c r="B4942"/>
  <c r="A4943"/>
  <c r="B4943"/>
  <c r="A4944"/>
  <c r="B4944"/>
  <c r="A4945"/>
  <c r="B4945"/>
  <c r="A4946"/>
  <c r="B4946"/>
  <c r="A4947"/>
  <c r="B4947"/>
  <c r="A4948"/>
  <c r="B4948"/>
  <c r="A4949"/>
  <c r="B4949"/>
  <c r="A4950"/>
  <c r="B4950"/>
  <c r="A4951"/>
  <c r="B4951"/>
  <c r="A4952"/>
  <c r="B4952"/>
  <c r="A4953"/>
  <c r="B4953"/>
  <c r="A4954"/>
  <c r="B4954"/>
  <c r="A4955"/>
  <c r="B4955"/>
  <c r="A4956"/>
  <c r="B4956"/>
  <c r="A4957"/>
  <c r="B4957"/>
  <c r="A4958"/>
  <c r="B4958"/>
  <c r="A4959"/>
  <c r="B4959"/>
  <c r="A4960"/>
  <c r="B4960"/>
  <c r="A4961"/>
  <c r="B4961"/>
  <c r="A4962"/>
  <c r="B4962"/>
  <c r="A4963"/>
  <c r="B4963"/>
  <c r="A4964"/>
  <c r="B4964"/>
  <c r="A4965"/>
  <c r="B4965"/>
  <c r="A4966"/>
  <c r="B4966"/>
  <c r="A4967"/>
  <c r="B4967"/>
  <c r="A4968"/>
  <c r="B4968"/>
  <c r="A4969"/>
  <c r="B4969"/>
  <c r="A4970"/>
  <c r="B4970"/>
  <c r="A4971"/>
  <c r="B4971"/>
  <c r="A4972"/>
  <c r="B4972"/>
  <c r="A4973"/>
  <c r="B4973"/>
  <c r="A4974"/>
  <c r="B4974"/>
  <c r="A4975"/>
  <c r="B4975"/>
  <c r="A4976"/>
  <c r="B4976"/>
  <c r="A4977"/>
  <c r="B4977"/>
  <c r="A4978"/>
  <c r="B4978"/>
  <c r="A4979"/>
  <c r="B4979"/>
  <c r="A4980"/>
  <c r="B4980"/>
  <c r="A4981"/>
  <c r="B4981"/>
  <c r="A4982"/>
  <c r="B4982"/>
  <c r="A4983"/>
  <c r="B4983"/>
  <c r="A4984"/>
  <c r="B4984"/>
  <c r="A4985"/>
  <c r="B4985"/>
  <c r="A4986"/>
  <c r="B4986"/>
  <c r="A4987"/>
  <c r="B4987"/>
  <c r="A4988"/>
  <c r="B4988"/>
  <c r="A4989"/>
  <c r="B4989"/>
  <c r="A4990"/>
  <c r="B4990"/>
  <c r="A4991"/>
  <c r="B4991"/>
  <c r="A4992"/>
  <c r="B4992"/>
  <c r="A4993"/>
  <c r="B4993"/>
  <c r="A4994"/>
  <c r="B4994"/>
  <c r="A4995"/>
  <c r="B4995"/>
  <c r="A4996"/>
  <c r="B4996"/>
  <c r="A4997"/>
  <c r="B4997"/>
  <c r="A4998"/>
  <c r="B4998"/>
  <c r="A4999"/>
  <c r="B4999"/>
  <c r="A5000"/>
  <c r="B5000"/>
  <c r="A5001"/>
  <c r="B5001"/>
  <c r="A5002"/>
  <c r="B5002"/>
  <c r="A5003"/>
  <c r="B5003"/>
  <c r="A5004"/>
  <c r="B5004"/>
  <c r="A5005"/>
  <c r="B5005"/>
  <c r="A5006"/>
  <c r="B5006"/>
  <c r="A5007"/>
  <c r="B5007"/>
  <c r="A5008"/>
  <c r="B5008"/>
  <c r="A5009"/>
  <c r="B5009"/>
  <c r="A5010"/>
  <c r="B5010"/>
  <c r="A5011"/>
  <c r="B5011"/>
  <c r="A5012"/>
  <c r="B5012"/>
  <c r="A5013"/>
  <c r="B5013"/>
  <c r="A5014"/>
  <c r="B5014"/>
  <c r="A5015"/>
  <c r="B5015"/>
  <c r="A5016"/>
  <c r="B5016"/>
  <c r="A5017"/>
  <c r="B5017"/>
  <c r="A5018"/>
  <c r="B5018"/>
  <c r="A5019"/>
  <c r="B5019"/>
  <c r="A5020"/>
  <c r="B5020"/>
  <c r="A5021"/>
  <c r="B5021"/>
  <c r="A5022"/>
  <c r="B5022"/>
  <c r="A5023"/>
  <c r="B5023"/>
  <c r="A5024"/>
  <c r="B5024"/>
  <c r="A5025"/>
  <c r="B5025"/>
  <c r="A5026"/>
  <c r="B5026"/>
  <c r="A5027"/>
  <c r="B5027"/>
  <c r="A5028"/>
  <c r="B5028"/>
  <c r="A5029"/>
  <c r="B5029"/>
  <c r="A5030"/>
  <c r="B5030"/>
  <c r="A5031"/>
  <c r="B5031"/>
  <c r="A5032"/>
  <c r="B5032"/>
  <c r="A5033"/>
  <c r="B5033"/>
  <c r="A5034"/>
  <c r="B5034"/>
  <c r="A5035"/>
  <c r="B5035"/>
  <c r="A5036"/>
  <c r="B5036"/>
  <c r="A5037"/>
  <c r="B5037"/>
  <c r="A5038"/>
  <c r="B5038"/>
  <c r="A5039"/>
  <c r="B5039"/>
  <c r="A5040"/>
  <c r="B5040"/>
  <c r="A5041"/>
  <c r="B5041"/>
  <c r="A5042"/>
  <c r="B5042"/>
  <c r="A5043"/>
  <c r="B5043"/>
  <c r="A5044"/>
  <c r="B5044"/>
  <c r="A5045"/>
  <c r="B5045"/>
  <c r="A5046"/>
  <c r="B5046"/>
  <c r="A5047"/>
  <c r="B5047"/>
  <c r="A5048"/>
  <c r="B5048"/>
  <c r="A5049"/>
  <c r="B5049"/>
  <c r="A5050"/>
  <c r="B5050"/>
  <c r="A5051"/>
  <c r="B5051"/>
  <c r="A5052"/>
  <c r="B5052"/>
  <c r="A5053"/>
  <c r="B5053"/>
  <c r="A5054"/>
  <c r="B5054"/>
  <c r="A5055"/>
  <c r="B5055"/>
  <c r="A5056"/>
  <c r="B5056"/>
  <c r="A5057"/>
  <c r="B5057"/>
  <c r="A5058"/>
  <c r="B5058"/>
  <c r="A5059"/>
  <c r="B5059"/>
  <c r="A5060"/>
  <c r="B5060"/>
  <c r="A5061"/>
  <c r="B5061"/>
  <c r="A5062"/>
  <c r="B5062"/>
  <c r="A5063"/>
  <c r="B5063"/>
  <c r="A5064"/>
  <c r="B5064"/>
  <c r="A5065"/>
  <c r="B5065"/>
  <c r="A5066"/>
  <c r="B5066"/>
  <c r="A5067"/>
  <c r="B5067"/>
  <c r="A5068"/>
  <c r="B5068"/>
  <c r="A5069"/>
  <c r="B5069"/>
  <c r="A5070"/>
  <c r="B5070"/>
  <c r="A5071"/>
  <c r="B5071"/>
  <c r="A5072"/>
  <c r="B5072"/>
  <c r="A5073"/>
  <c r="B5073"/>
  <c r="A5074"/>
  <c r="B5074"/>
  <c r="A5075"/>
  <c r="B5075"/>
  <c r="A5076"/>
  <c r="B5076"/>
  <c r="A5077"/>
  <c r="B5077"/>
  <c r="A5078"/>
  <c r="B5078"/>
  <c r="A5079"/>
  <c r="B5079"/>
  <c r="A5080"/>
  <c r="B5080"/>
  <c r="A5081"/>
  <c r="B5081"/>
  <c r="A5082"/>
  <c r="B5082"/>
  <c r="A5083"/>
  <c r="B5083"/>
  <c r="A5084"/>
  <c r="B5084"/>
  <c r="A5085"/>
  <c r="B5085"/>
  <c r="A5086"/>
  <c r="B5086"/>
  <c r="A5087"/>
  <c r="B5087"/>
  <c r="A5088"/>
  <c r="B5088"/>
  <c r="A5089"/>
  <c r="B5089"/>
  <c r="A5090"/>
  <c r="B5090"/>
  <c r="A5091"/>
  <c r="B5091"/>
  <c r="A5092"/>
  <c r="B5092"/>
  <c r="A5093"/>
  <c r="B5093"/>
  <c r="A5094"/>
  <c r="B5094"/>
  <c r="A5095"/>
  <c r="B5095"/>
  <c r="A5096"/>
  <c r="B5096"/>
  <c r="A5097"/>
  <c r="B5097"/>
  <c r="A5098"/>
  <c r="B5098"/>
  <c r="A5099"/>
  <c r="B5099"/>
  <c r="A5100"/>
  <c r="B5100"/>
  <c r="A5101"/>
  <c r="B5101"/>
  <c r="A5102"/>
  <c r="B5102"/>
  <c r="A5103"/>
  <c r="B5103"/>
  <c r="A5104"/>
  <c r="B5104"/>
  <c r="A5105"/>
  <c r="B5105"/>
  <c r="A5106"/>
  <c r="B5106"/>
  <c r="A5107"/>
  <c r="B5107"/>
  <c r="A5108"/>
  <c r="B5108"/>
  <c r="A5109"/>
  <c r="B5109"/>
  <c r="A5110"/>
  <c r="B5110"/>
  <c r="A5111"/>
  <c r="B5111"/>
  <c r="A5112"/>
  <c r="B5112"/>
  <c r="A5113"/>
  <c r="B5113"/>
  <c r="A5114"/>
  <c r="B5114"/>
  <c r="A5115"/>
  <c r="B5115"/>
  <c r="A5116"/>
  <c r="B5116"/>
  <c r="A5117"/>
  <c r="B5117"/>
  <c r="A5118"/>
  <c r="B5118"/>
  <c r="A5119"/>
  <c r="B5119"/>
  <c r="A5120"/>
  <c r="B5120"/>
  <c r="A5121"/>
  <c r="B5121"/>
  <c r="A5122"/>
  <c r="B5122"/>
  <c r="A5123"/>
  <c r="B5123"/>
  <c r="A5124"/>
  <c r="B5124"/>
  <c r="A5125"/>
  <c r="B5125"/>
  <c r="A5126"/>
  <c r="B5126"/>
  <c r="A5127"/>
  <c r="B5127"/>
  <c r="A5128"/>
  <c r="B5128"/>
  <c r="A5129"/>
  <c r="B5129"/>
  <c r="A5130"/>
  <c r="B5130"/>
  <c r="A5131"/>
  <c r="B5131"/>
  <c r="A5132"/>
  <c r="B5132"/>
  <c r="A5133"/>
  <c r="B5133"/>
  <c r="A5134"/>
  <c r="B5134"/>
  <c r="A5135"/>
  <c r="B5135"/>
  <c r="A5136"/>
  <c r="B5136"/>
  <c r="A5137"/>
  <c r="B5137"/>
  <c r="A5138"/>
  <c r="B5138"/>
  <c r="A5139"/>
  <c r="B5139"/>
  <c r="A5140"/>
  <c r="B5140"/>
  <c r="A5141"/>
  <c r="B5141"/>
  <c r="A5142"/>
  <c r="B5142"/>
  <c r="A5143"/>
  <c r="B5143"/>
  <c r="A5144"/>
  <c r="B5144"/>
  <c r="A5145"/>
  <c r="B5145"/>
  <c r="A5146"/>
  <c r="B5146"/>
  <c r="A5147"/>
  <c r="B5147"/>
  <c r="A5148"/>
  <c r="B5148"/>
  <c r="A5149"/>
  <c r="B5149"/>
  <c r="A5150"/>
  <c r="B5150"/>
  <c r="A5151"/>
  <c r="B5151"/>
  <c r="A5152"/>
  <c r="B5152"/>
  <c r="A5153"/>
  <c r="B5153"/>
  <c r="A5154"/>
  <c r="B5154"/>
  <c r="A5155"/>
  <c r="B5155"/>
  <c r="A5156"/>
  <c r="B5156"/>
  <c r="A5157"/>
  <c r="B5157"/>
  <c r="A5158"/>
  <c r="B5158"/>
  <c r="A5159"/>
  <c r="B5159"/>
  <c r="A5160"/>
  <c r="B5160"/>
  <c r="A5161"/>
  <c r="B5161"/>
  <c r="A5162"/>
  <c r="B5162"/>
  <c r="A5163"/>
  <c r="B5163"/>
  <c r="A5164"/>
  <c r="B5164"/>
  <c r="A5165"/>
  <c r="B5165"/>
  <c r="A5166"/>
  <c r="B5166"/>
  <c r="A5167"/>
  <c r="B5167"/>
  <c r="A5168"/>
  <c r="B5168"/>
  <c r="A5169"/>
  <c r="B5169"/>
  <c r="A5170"/>
  <c r="B5170"/>
  <c r="A5171"/>
  <c r="B5171"/>
  <c r="A5172"/>
  <c r="B5172"/>
  <c r="A5173"/>
  <c r="B5173"/>
  <c r="A5174"/>
  <c r="B5174"/>
  <c r="A5175"/>
  <c r="B5175"/>
  <c r="A5176"/>
  <c r="B5176"/>
  <c r="A5177"/>
  <c r="B5177"/>
  <c r="A5178"/>
  <c r="B5178"/>
  <c r="A5179"/>
  <c r="B5179"/>
  <c r="A5180"/>
  <c r="B5180"/>
  <c r="A5181"/>
  <c r="B5181"/>
  <c r="A5182"/>
  <c r="B5182"/>
  <c r="A5183"/>
  <c r="B5183"/>
  <c r="A5184"/>
  <c r="B5184"/>
  <c r="A5185"/>
  <c r="B5185"/>
  <c r="A5186"/>
  <c r="B5186"/>
  <c r="A5187"/>
  <c r="B5187"/>
  <c r="A5188"/>
  <c r="B5188"/>
  <c r="A5189"/>
  <c r="B5189"/>
  <c r="A5190"/>
  <c r="B5190"/>
  <c r="A5191"/>
  <c r="B5191"/>
  <c r="A5192"/>
  <c r="B5192"/>
  <c r="A5193"/>
  <c r="B5193"/>
  <c r="A5194"/>
  <c r="B5194"/>
  <c r="A5195"/>
  <c r="B5195"/>
  <c r="A5196"/>
  <c r="B5196"/>
  <c r="A5197"/>
  <c r="B5197"/>
  <c r="A5198"/>
  <c r="B5198"/>
  <c r="A5199"/>
  <c r="B5199"/>
  <c r="A5200"/>
  <c r="B5200"/>
  <c r="A5201"/>
  <c r="B5201"/>
  <c r="A5202"/>
  <c r="B5202"/>
  <c r="A5203"/>
  <c r="B5203"/>
  <c r="A5204"/>
  <c r="B5204"/>
  <c r="A5205"/>
  <c r="B5205"/>
  <c r="A5206"/>
  <c r="B5206"/>
  <c r="A5207"/>
  <c r="B5207"/>
  <c r="A5208"/>
  <c r="B5208"/>
  <c r="A5209"/>
  <c r="B5209"/>
  <c r="A5210"/>
  <c r="B5210"/>
  <c r="A5211"/>
  <c r="B5211"/>
  <c r="A5212"/>
  <c r="B5212"/>
  <c r="A5213"/>
  <c r="B5213"/>
  <c r="A5214"/>
  <c r="B5214"/>
  <c r="A5215"/>
  <c r="B5215"/>
  <c r="A5216"/>
  <c r="B5216"/>
  <c r="A5217"/>
  <c r="B5217"/>
  <c r="A5218"/>
  <c r="B5218"/>
  <c r="A5219"/>
  <c r="B5219"/>
  <c r="A5220"/>
  <c r="B5220"/>
  <c r="A5221"/>
  <c r="B5221"/>
  <c r="A5222"/>
  <c r="B5222"/>
  <c r="A5223"/>
  <c r="B5223"/>
  <c r="A5224"/>
  <c r="B5224"/>
  <c r="A5225"/>
  <c r="B5225"/>
  <c r="A5226"/>
  <c r="B5226"/>
  <c r="A5227"/>
  <c r="B5227"/>
  <c r="A5228"/>
  <c r="B5228"/>
  <c r="A5229"/>
  <c r="B5229"/>
  <c r="A5230"/>
  <c r="B5230"/>
  <c r="A5231"/>
  <c r="B5231"/>
  <c r="A5232"/>
  <c r="B5232"/>
  <c r="A5233"/>
  <c r="B5233"/>
  <c r="A5234"/>
  <c r="B5234"/>
  <c r="A5235"/>
  <c r="B5235"/>
  <c r="A5236"/>
  <c r="B5236"/>
  <c r="A5237"/>
  <c r="B5237"/>
  <c r="A5238"/>
  <c r="B5238"/>
  <c r="A5239"/>
  <c r="B5239"/>
  <c r="A5240"/>
  <c r="B5240"/>
  <c r="A5241"/>
  <c r="B5241"/>
  <c r="A5242"/>
  <c r="B5242"/>
  <c r="A5243"/>
  <c r="B5243"/>
  <c r="A5244"/>
  <c r="B5244"/>
  <c r="A5245"/>
  <c r="B5245"/>
  <c r="A5246"/>
  <c r="B5246"/>
  <c r="A5247"/>
  <c r="B5247"/>
  <c r="A5248"/>
  <c r="B5248"/>
  <c r="A5249"/>
  <c r="B5249"/>
  <c r="A5250"/>
  <c r="B5250"/>
  <c r="A5251"/>
  <c r="B5251"/>
  <c r="A5252"/>
  <c r="B5252"/>
  <c r="A5253"/>
  <c r="B5253"/>
  <c r="A5254"/>
  <c r="B5254"/>
  <c r="A5255"/>
  <c r="B5255"/>
  <c r="A5256"/>
  <c r="B5256"/>
  <c r="A5257"/>
  <c r="B5257"/>
  <c r="A5258"/>
  <c r="B5258"/>
  <c r="A5259"/>
  <c r="B5259"/>
  <c r="A5260"/>
  <c r="B5260"/>
  <c r="A5261"/>
  <c r="B5261"/>
  <c r="A5262"/>
  <c r="B5262"/>
  <c r="A5263"/>
  <c r="B5263"/>
  <c r="A5264"/>
  <c r="B5264"/>
  <c r="A5265"/>
  <c r="B5265"/>
  <c r="A5266"/>
  <c r="B5266"/>
  <c r="A5267"/>
  <c r="B5267"/>
  <c r="A5268"/>
  <c r="B5268"/>
  <c r="A5269"/>
  <c r="B5269"/>
  <c r="A5270"/>
  <c r="B5270"/>
  <c r="A5271"/>
  <c r="B5271"/>
  <c r="A5272"/>
  <c r="B5272"/>
  <c r="A5273"/>
  <c r="B5273"/>
  <c r="A5274"/>
  <c r="B5274"/>
  <c r="A5275"/>
  <c r="B5275"/>
  <c r="A5276"/>
  <c r="B5276"/>
  <c r="A5277"/>
  <c r="B5277"/>
  <c r="A5278"/>
  <c r="B5278"/>
  <c r="A5279"/>
  <c r="B5279"/>
  <c r="A5280"/>
  <c r="B5280"/>
  <c r="A5281"/>
  <c r="B5281"/>
  <c r="A5282"/>
  <c r="B5282"/>
  <c r="A5283"/>
  <c r="B5283"/>
  <c r="A5284"/>
  <c r="B5284"/>
  <c r="A5285"/>
  <c r="B5285"/>
  <c r="A5286"/>
  <c r="B5286"/>
  <c r="A5287"/>
  <c r="B5287"/>
  <c r="A5288"/>
  <c r="B5288"/>
  <c r="A5289"/>
  <c r="B5289"/>
  <c r="A5290"/>
  <c r="B5290"/>
  <c r="A5291"/>
  <c r="B5291"/>
  <c r="A5292"/>
  <c r="B5292"/>
  <c r="A5293"/>
  <c r="B5293"/>
  <c r="A5294"/>
  <c r="B5294"/>
  <c r="A5295"/>
  <c r="B5295"/>
  <c r="A5296"/>
  <c r="B5296"/>
  <c r="A5297"/>
  <c r="B5297"/>
  <c r="A5298"/>
  <c r="B5298"/>
  <c r="A5299"/>
  <c r="B5299"/>
  <c r="A5300"/>
  <c r="B5300"/>
  <c r="A5301"/>
  <c r="B5301"/>
  <c r="A5302"/>
  <c r="B5302"/>
  <c r="A5303"/>
  <c r="B5303"/>
  <c r="A5304"/>
  <c r="B5304"/>
  <c r="A5305"/>
  <c r="B5305"/>
  <c r="A5306"/>
  <c r="B5306"/>
  <c r="A5307"/>
  <c r="B5307"/>
  <c r="A5308"/>
  <c r="B5308"/>
  <c r="A5309"/>
  <c r="B5309"/>
  <c r="A5310"/>
  <c r="B5310"/>
  <c r="A5311"/>
  <c r="B5311"/>
  <c r="A5312"/>
  <c r="B5312"/>
  <c r="A5313"/>
  <c r="B5313"/>
  <c r="A5314"/>
  <c r="B5314"/>
  <c r="A5315"/>
  <c r="B5315"/>
  <c r="A5316"/>
  <c r="B5316"/>
  <c r="A5317"/>
  <c r="B5317"/>
  <c r="A5318"/>
  <c r="B5318"/>
  <c r="A5319"/>
  <c r="B5319"/>
  <c r="A5320"/>
  <c r="B5320"/>
  <c r="A5321"/>
  <c r="B5321"/>
  <c r="A5322"/>
  <c r="B5322"/>
  <c r="A5323"/>
  <c r="B5323"/>
  <c r="A5324"/>
  <c r="B5324"/>
  <c r="A5325"/>
  <c r="B5325"/>
  <c r="A5326"/>
  <c r="B5326"/>
  <c r="A5327"/>
  <c r="B5327"/>
  <c r="A5328"/>
  <c r="B5328"/>
  <c r="A5329"/>
  <c r="B5329"/>
  <c r="A5330"/>
  <c r="B5330"/>
  <c r="A5331"/>
  <c r="B5331"/>
  <c r="A5332"/>
  <c r="B5332"/>
  <c r="A5333"/>
  <c r="B5333"/>
  <c r="A5334"/>
  <c r="B5334"/>
  <c r="A5335"/>
  <c r="B5335"/>
  <c r="A5336"/>
  <c r="B5336"/>
  <c r="A5337"/>
  <c r="B5337"/>
  <c r="A5338"/>
  <c r="B5338"/>
  <c r="A5339"/>
  <c r="B5339"/>
  <c r="A5340"/>
  <c r="B5340"/>
  <c r="A5341"/>
  <c r="B5341"/>
  <c r="A5342"/>
  <c r="B5342"/>
  <c r="A5343"/>
  <c r="B5343"/>
  <c r="A5344"/>
  <c r="B5344"/>
  <c r="A5345"/>
  <c r="B5345"/>
  <c r="A5346"/>
  <c r="B5346"/>
  <c r="A5347"/>
  <c r="B5347"/>
  <c r="A5348"/>
  <c r="B5348"/>
  <c r="A5349"/>
  <c r="B5349"/>
  <c r="A5350"/>
  <c r="B5350"/>
  <c r="A5351"/>
  <c r="B5351"/>
  <c r="A5352"/>
  <c r="B5352"/>
  <c r="A5353"/>
  <c r="B5353"/>
  <c r="A5354"/>
  <c r="B5354"/>
  <c r="A5355"/>
  <c r="B5355"/>
  <c r="A5356"/>
  <c r="B5356"/>
  <c r="A5357"/>
  <c r="B5357"/>
  <c r="A5358"/>
  <c r="B5358"/>
  <c r="A5359"/>
  <c r="B5359"/>
  <c r="A5360"/>
  <c r="B5360"/>
  <c r="A5361"/>
  <c r="B5361"/>
  <c r="A5362"/>
  <c r="B5362"/>
  <c r="A5363"/>
  <c r="B5363"/>
  <c r="A5364"/>
  <c r="B5364"/>
  <c r="A5365"/>
  <c r="B5365"/>
  <c r="A5366"/>
  <c r="B5366"/>
  <c r="A5367"/>
  <c r="B5367"/>
  <c r="A5368"/>
  <c r="B5368"/>
  <c r="A5369"/>
  <c r="B5369"/>
  <c r="A5370"/>
  <c r="B5370"/>
  <c r="A5371"/>
  <c r="B5371"/>
  <c r="A5372"/>
  <c r="B5372"/>
  <c r="A5373"/>
  <c r="B5373"/>
  <c r="A5374"/>
  <c r="B5374"/>
  <c r="A5375"/>
  <c r="B5375"/>
  <c r="A5376"/>
  <c r="B5376"/>
  <c r="A5377"/>
  <c r="B5377"/>
  <c r="A5378"/>
  <c r="B5378"/>
  <c r="A5379"/>
  <c r="B5379"/>
  <c r="A5380"/>
  <c r="B5380"/>
  <c r="A5381"/>
  <c r="B5381"/>
  <c r="A5382"/>
  <c r="B5382"/>
  <c r="A5383"/>
  <c r="B5383"/>
  <c r="A5384"/>
  <c r="B5384"/>
  <c r="A5385"/>
  <c r="B5385"/>
  <c r="A5386"/>
  <c r="B5386"/>
  <c r="A5387"/>
  <c r="B5387"/>
  <c r="A5388"/>
  <c r="B5388"/>
  <c r="A5389"/>
  <c r="B5389"/>
  <c r="A5390"/>
  <c r="B5390"/>
  <c r="A5391"/>
  <c r="B5391"/>
  <c r="A5392"/>
  <c r="B5392"/>
  <c r="A5393"/>
  <c r="B5393"/>
  <c r="A5394"/>
  <c r="B5394"/>
  <c r="A5395"/>
  <c r="B5395"/>
  <c r="A5396"/>
  <c r="B5396"/>
  <c r="A5397"/>
  <c r="B5397"/>
  <c r="A5398"/>
  <c r="B5398"/>
  <c r="A5399"/>
  <c r="B5399"/>
  <c r="A5400"/>
  <c r="B5400"/>
  <c r="A5401"/>
  <c r="B5401"/>
  <c r="A5402"/>
  <c r="B5402"/>
  <c r="A5403"/>
  <c r="B5403"/>
  <c r="A5404"/>
  <c r="B5404"/>
  <c r="A5405"/>
  <c r="B5405"/>
  <c r="A5406"/>
  <c r="B5406"/>
  <c r="A5407"/>
  <c r="B5407"/>
  <c r="A5408"/>
  <c r="B5408"/>
  <c r="A5409"/>
  <c r="B5409"/>
  <c r="A5410"/>
  <c r="B5410"/>
  <c r="A5411"/>
  <c r="B5411"/>
  <c r="A5412"/>
  <c r="B5412"/>
  <c r="A5413"/>
  <c r="B5413"/>
  <c r="A5414"/>
  <c r="B5414"/>
  <c r="A5415"/>
  <c r="B5415"/>
  <c r="A5416"/>
  <c r="B5416"/>
  <c r="A5417"/>
  <c r="B5417"/>
  <c r="A5418"/>
  <c r="B5418"/>
  <c r="A5419"/>
  <c r="B5419"/>
  <c r="A5420"/>
  <c r="B5420"/>
  <c r="A5421"/>
  <c r="B5421"/>
  <c r="A5422"/>
  <c r="B5422"/>
  <c r="A5423"/>
  <c r="B5423"/>
  <c r="A5424"/>
  <c r="B5424"/>
  <c r="A5425"/>
  <c r="B5425"/>
  <c r="A5426"/>
  <c r="B5426"/>
  <c r="A5427"/>
  <c r="B5427"/>
  <c r="A5428"/>
  <c r="B5428"/>
  <c r="A5429"/>
  <c r="B5429"/>
  <c r="A5430"/>
  <c r="B5430"/>
  <c r="A5431"/>
  <c r="B5431"/>
  <c r="A5432"/>
  <c r="B5432"/>
  <c r="A5433"/>
  <c r="B5433"/>
  <c r="A5434"/>
  <c r="B5434"/>
  <c r="A5435"/>
  <c r="B5435"/>
  <c r="A5436"/>
  <c r="B5436"/>
  <c r="A5437"/>
  <c r="B5437"/>
  <c r="A5438"/>
  <c r="B5438"/>
  <c r="A5439"/>
  <c r="B5439"/>
  <c r="A5440"/>
  <c r="B5440"/>
  <c r="A5441"/>
  <c r="B5441"/>
  <c r="A5442"/>
  <c r="B5442"/>
  <c r="A5443"/>
  <c r="B5443"/>
  <c r="A5444"/>
  <c r="B5444"/>
  <c r="A5445"/>
  <c r="B5445"/>
  <c r="A5446"/>
  <c r="B5446"/>
  <c r="A5447"/>
  <c r="B5447"/>
  <c r="A5448"/>
  <c r="B5448"/>
  <c r="A5449"/>
  <c r="B5449"/>
  <c r="A5450"/>
  <c r="B5450"/>
  <c r="A5451"/>
  <c r="B5451"/>
  <c r="A5452"/>
  <c r="B5452"/>
  <c r="A5453"/>
  <c r="B5453"/>
  <c r="A5454"/>
  <c r="B5454"/>
  <c r="A5455"/>
  <c r="B5455"/>
  <c r="A5456"/>
  <c r="B5456"/>
  <c r="A5457"/>
  <c r="B5457"/>
  <c r="A5458"/>
  <c r="B5458"/>
  <c r="A5459"/>
  <c r="B5459"/>
  <c r="A5460"/>
  <c r="B5460"/>
  <c r="A5461"/>
  <c r="B5461"/>
  <c r="A5462"/>
  <c r="B5462"/>
  <c r="A5463"/>
  <c r="B5463"/>
  <c r="A5464"/>
  <c r="B5464"/>
  <c r="A5465"/>
  <c r="B5465"/>
  <c r="A5466"/>
  <c r="B5466"/>
  <c r="A5467"/>
  <c r="B5467"/>
  <c r="A5468"/>
  <c r="B5468"/>
  <c r="A5469"/>
  <c r="B5469"/>
  <c r="A5470"/>
  <c r="B5470"/>
  <c r="A5471"/>
  <c r="B5471"/>
  <c r="A5472"/>
  <c r="B5472"/>
  <c r="A5473"/>
  <c r="B5473"/>
  <c r="A5474"/>
  <c r="B5474"/>
  <c r="A5475"/>
  <c r="B5475"/>
  <c r="A5476"/>
  <c r="B5476"/>
  <c r="A5477"/>
  <c r="B5477"/>
  <c r="A5478"/>
  <c r="B5478"/>
  <c r="A5479"/>
  <c r="B5479"/>
  <c r="A5480"/>
  <c r="B5480"/>
  <c r="A5481"/>
  <c r="B5481"/>
  <c r="A5482"/>
  <c r="B5482"/>
  <c r="A5483"/>
  <c r="B5483"/>
  <c r="A5484"/>
  <c r="B5484"/>
  <c r="A5485"/>
  <c r="B5485"/>
  <c r="A5486"/>
  <c r="B5486"/>
  <c r="A5487"/>
  <c r="B5487"/>
  <c r="A5488"/>
  <c r="B5488"/>
  <c r="A5489"/>
  <c r="B5489"/>
  <c r="A5490"/>
  <c r="B5490"/>
  <c r="A5491"/>
  <c r="B5491"/>
  <c r="A5492"/>
  <c r="B5492"/>
  <c r="A5493"/>
  <c r="B5493"/>
  <c r="A5494"/>
  <c r="B5494"/>
  <c r="A5495"/>
  <c r="B5495"/>
  <c r="A5496"/>
  <c r="B5496"/>
  <c r="A5497"/>
  <c r="B5497"/>
  <c r="A5498"/>
  <c r="B5498"/>
  <c r="A5499"/>
  <c r="B5499"/>
  <c r="A5500"/>
  <c r="B5500"/>
  <c r="A5501"/>
  <c r="B5501"/>
  <c r="A5502"/>
  <c r="B5502"/>
  <c r="A5503"/>
  <c r="B5503"/>
  <c r="A5504"/>
  <c r="B5504"/>
  <c r="A5505"/>
  <c r="B5505"/>
  <c r="A5506"/>
  <c r="B5506"/>
  <c r="A5507"/>
  <c r="B5507"/>
  <c r="A5508"/>
  <c r="B5508"/>
  <c r="A5509"/>
  <c r="B5509"/>
  <c r="A5510"/>
  <c r="B5510"/>
  <c r="A5511"/>
  <c r="B5511"/>
  <c r="A5512"/>
  <c r="B5512"/>
  <c r="A5513"/>
  <c r="B5513"/>
  <c r="A5514"/>
  <c r="B5514"/>
  <c r="A5515"/>
  <c r="B5515"/>
  <c r="A5516"/>
  <c r="B5516"/>
  <c r="A5517"/>
  <c r="B5517"/>
  <c r="A5518"/>
  <c r="B5518"/>
  <c r="A5519"/>
  <c r="B5519"/>
  <c r="A5520"/>
  <c r="B5520"/>
  <c r="A5521"/>
  <c r="B5521"/>
  <c r="A5522"/>
  <c r="B5522"/>
  <c r="A5523"/>
  <c r="B5523"/>
  <c r="A5524"/>
  <c r="B5524"/>
  <c r="A5525"/>
  <c r="B5525"/>
  <c r="A5526"/>
  <c r="B5526"/>
  <c r="A5527"/>
  <c r="B5527"/>
  <c r="A5528"/>
  <c r="B5528"/>
  <c r="A5529"/>
  <c r="B5529"/>
  <c r="A5530"/>
  <c r="B5530"/>
  <c r="A5531"/>
  <c r="B5531"/>
  <c r="A5532"/>
  <c r="B5532"/>
  <c r="A5533"/>
  <c r="B5533"/>
  <c r="A5534"/>
  <c r="B5534"/>
  <c r="A5535"/>
  <c r="B5535"/>
  <c r="A5536"/>
  <c r="B5536"/>
  <c r="A5537"/>
  <c r="B5537"/>
  <c r="A5538"/>
  <c r="B5538"/>
  <c r="A5539"/>
  <c r="B5539"/>
  <c r="A5540"/>
  <c r="B5540"/>
  <c r="A5541"/>
  <c r="B5541"/>
  <c r="A5542"/>
  <c r="B5542"/>
  <c r="A5543"/>
  <c r="B5543"/>
  <c r="A5544"/>
  <c r="B5544"/>
  <c r="A5545"/>
  <c r="B5545"/>
  <c r="A5546"/>
  <c r="B5546"/>
  <c r="A5547"/>
  <c r="B5547"/>
  <c r="A5548"/>
  <c r="B5548"/>
  <c r="A5549"/>
  <c r="B5549"/>
  <c r="A5550"/>
  <c r="B5550"/>
  <c r="A5551"/>
  <c r="B5551"/>
  <c r="A5552"/>
  <c r="B5552"/>
  <c r="A5553"/>
  <c r="B5553"/>
  <c r="A5554"/>
  <c r="B5554"/>
  <c r="A5555"/>
  <c r="B5555"/>
  <c r="A5556"/>
  <c r="B5556"/>
  <c r="A5557"/>
  <c r="B5557"/>
  <c r="A5558"/>
  <c r="B5558"/>
  <c r="A5559"/>
  <c r="B5559"/>
  <c r="A5560"/>
  <c r="B5560"/>
  <c r="A5561"/>
  <c r="B5561"/>
  <c r="A5562"/>
  <c r="B5562"/>
  <c r="A5563"/>
  <c r="B5563"/>
  <c r="A5564"/>
  <c r="B5564"/>
  <c r="A5565"/>
  <c r="B5565"/>
  <c r="A5566"/>
  <c r="B5566"/>
  <c r="A5567"/>
  <c r="B5567"/>
  <c r="A5568"/>
  <c r="B5568"/>
  <c r="A5569"/>
  <c r="B5569"/>
  <c r="A5570"/>
  <c r="B5570"/>
  <c r="A5571"/>
  <c r="B5571"/>
  <c r="A5572"/>
  <c r="B5572"/>
  <c r="A5573"/>
  <c r="B5573"/>
  <c r="A5574"/>
  <c r="B5574"/>
  <c r="A5575"/>
  <c r="B5575"/>
  <c r="A5576"/>
  <c r="B5576"/>
  <c r="A5577"/>
  <c r="B5577"/>
  <c r="A5578"/>
  <c r="B5578"/>
  <c r="A5579"/>
  <c r="B5579"/>
  <c r="A5580"/>
  <c r="B5580"/>
  <c r="A5581"/>
  <c r="B5581"/>
  <c r="A5582"/>
  <c r="B5582"/>
  <c r="A5583"/>
  <c r="B5583"/>
  <c r="A5584"/>
  <c r="B5584"/>
  <c r="A5585"/>
  <c r="B5585"/>
  <c r="A5586"/>
  <c r="B5586"/>
  <c r="A5587"/>
  <c r="B5587"/>
  <c r="A5588"/>
  <c r="B5588"/>
  <c r="A5589"/>
  <c r="B5589"/>
  <c r="A5590"/>
  <c r="B5590"/>
  <c r="A5591"/>
  <c r="B5591"/>
  <c r="A5592"/>
  <c r="B5592"/>
  <c r="A5593"/>
  <c r="B5593"/>
  <c r="A5594"/>
  <c r="B5594"/>
  <c r="A5595"/>
  <c r="B5595"/>
  <c r="A5596"/>
  <c r="B5596"/>
  <c r="A5597"/>
  <c r="B5597"/>
  <c r="A5598"/>
  <c r="B5598"/>
  <c r="A5599"/>
  <c r="B5599"/>
  <c r="A5600"/>
  <c r="B5600"/>
  <c r="A5601"/>
  <c r="B5601"/>
  <c r="A5602"/>
  <c r="B5602"/>
  <c r="A5603"/>
  <c r="B5603"/>
  <c r="A5604"/>
  <c r="B5604"/>
  <c r="A5605"/>
  <c r="B5605"/>
  <c r="A5606"/>
  <c r="B5606"/>
  <c r="A5607"/>
  <c r="B5607"/>
  <c r="A5608"/>
  <c r="B5608"/>
  <c r="A5609"/>
  <c r="B5609"/>
  <c r="A5610"/>
  <c r="B5610"/>
  <c r="A5611"/>
  <c r="B5611"/>
  <c r="A5612"/>
  <c r="B5612"/>
  <c r="A5613"/>
  <c r="B5613"/>
  <c r="A5614"/>
  <c r="B5614"/>
  <c r="A5615"/>
  <c r="B5615"/>
  <c r="A5616"/>
  <c r="B5616"/>
  <c r="A5617"/>
  <c r="B5617"/>
  <c r="A5618"/>
  <c r="B5618"/>
  <c r="A5619"/>
  <c r="B5619"/>
  <c r="A5620"/>
  <c r="B5620"/>
  <c r="A5621"/>
  <c r="B5621"/>
  <c r="A5622"/>
  <c r="B5622"/>
  <c r="A5623"/>
  <c r="B5623"/>
  <c r="A5624"/>
  <c r="B5624"/>
  <c r="A5625"/>
  <c r="B5625"/>
  <c r="A5626"/>
  <c r="B5626"/>
  <c r="A5627"/>
  <c r="B5627"/>
  <c r="A5628"/>
  <c r="B5628"/>
  <c r="A5629"/>
  <c r="B5629"/>
  <c r="A5630"/>
  <c r="B5630"/>
  <c r="A5631"/>
  <c r="B5631"/>
  <c r="A5632"/>
  <c r="B5632"/>
  <c r="A5633"/>
  <c r="B5633"/>
  <c r="A5634"/>
  <c r="B5634"/>
  <c r="A5635"/>
  <c r="B5635"/>
  <c r="A5636"/>
  <c r="B5636"/>
  <c r="A5637"/>
  <c r="B5637"/>
  <c r="A5638"/>
  <c r="B5638"/>
  <c r="A5639"/>
  <c r="B5639"/>
  <c r="A5640"/>
  <c r="B5640"/>
  <c r="A5641"/>
  <c r="B5641"/>
  <c r="A5642"/>
  <c r="B5642"/>
  <c r="A5643"/>
  <c r="B5643"/>
  <c r="A5644"/>
  <c r="B5644"/>
  <c r="A5645"/>
  <c r="B5645"/>
  <c r="A5646"/>
  <c r="B5646"/>
  <c r="A5647"/>
  <c r="B5647"/>
  <c r="A5648"/>
  <c r="B5648"/>
  <c r="A5649"/>
  <c r="B5649"/>
  <c r="A5650"/>
  <c r="B5650"/>
  <c r="A5651"/>
  <c r="B5651"/>
  <c r="A5652"/>
  <c r="B5652"/>
  <c r="A5653"/>
  <c r="B5653"/>
  <c r="A5654"/>
  <c r="B5654"/>
  <c r="A5655"/>
  <c r="B5655"/>
  <c r="A5656"/>
  <c r="B5656"/>
  <c r="A5657"/>
  <c r="B5657"/>
  <c r="A5658"/>
  <c r="B5658"/>
  <c r="A5659"/>
  <c r="B5659"/>
  <c r="A5660"/>
  <c r="B5660"/>
  <c r="A5661"/>
  <c r="B5661"/>
  <c r="A5662"/>
  <c r="B5662"/>
  <c r="A5663"/>
  <c r="B5663"/>
  <c r="A5664"/>
  <c r="B5664"/>
  <c r="A5665"/>
  <c r="B5665"/>
  <c r="A5666"/>
  <c r="B5666"/>
  <c r="A5667"/>
  <c r="B5667"/>
  <c r="A5668"/>
  <c r="B5668"/>
  <c r="A5669"/>
  <c r="B5669"/>
  <c r="A5670"/>
  <c r="B5670"/>
  <c r="A5671"/>
  <c r="B5671"/>
  <c r="A5672"/>
  <c r="B5672"/>
  <c r="A5673"/>
  <c r="B5673"/>
  <c r="A5674"/>
  <c r="B5674"/>
  <c r="A5675"/>
  <c r="B5675"/>
  <c r="A5676"/>
  <c r="B5676"/>
  <c r="A5677"/>
  <c r="B5677"/>
  <c r="A5678"/>
  <c r="B5678"/>
  <c r="A5679"/>
  <c r="B5679"/>
  <c r="A5680"/>
  <c r="B5680"/>
  <c r="A5681"/>
  <c r="B5681"/>
  <c r="A5682"/>
  <c r="B5682"/>
  <c r="A5683"/>
  <c r="B5683"/>
  <c r="A5684"/>
  <c r="B5684"/>
  <c r="A5685"/>
  <c r="B5685"/>
  <c r="A5686"/>
  <c r="B5686"/>
  <c r="A5687"/>
  <c r="B5687"/>
  <c r="A5688"/>
  <c r="B5688"/>
  <c r="A5689"/>
  <c r="B5689"/>
  <c r="A5690"/>
  <c r="B5690"/>
  <c r="A5691"/>
  <c r="B5691"/>
  <c r="A5692"/>
  <c r="B5692"/>
  <c r="A5693"/>
  <c r="B5693"/>
  <c r="A5694"/>
  <c r="B5694"/>
  <c r="A5695"/>
  <c r="B5695"/>
  <c r="A5696"/>
  <c r="B5696"/>
  <c r="A5697"/>
  <c r="B5697"/>
  <c r="A5698"/>
  <c r="B5698"/>
  <c r="A5699"/>
  <c r="B5699"/>
  <c r="A5700"/>
  <c r="B5700"/>
  <c r="A5701"/>
  <c r="B5701"/>
  <c r="A5702"/>
  <c r="B5702"/>
  <c r="A5703"/>
  <c r="B5703"/>
  <c r="A5704"/>
  <c r="B5704"/>
  <c r="A5705"/>
  <c r="B5705"/>
  <c r="A5706"/>
  <c r="B5706"/>
  <c r="A5707"/>
  <c r="B5707"/>
  <c r="A5708"/>
  <c r="B5708"/>
  <c r="A5709"/>
  <c r="B5709"/>
  <c r="A5710"/>
  <c r="B5710"/>
  <c r="A5711"/>
  <c r="B5711"/>
  <c r="A5712"/>
  <c r="B5712"/>
  <c r="A5713"/>
  <c r="B5713"/>
  <c r="A5714"/>
  <c r="B5714"/>
  <c r="A5715"/>
  <c r="B5715"/>
  <c r="A5716"/>
  <c r="B5716"/>
  <c r="A5717"/>
  <c r="B5717"/>
  <c r="A5718"/>
  <c r="B5718"/>
  <c r="A5719"/>
  <c r="B5719"/>
  <c r="A5720"/>
  <c r="B5720"/>
  <c r="A5721"/>
  <c r="B5721"/>
  <c r="A5722"/>
  <c r="B5722"/>
  <c r="A5723"/>
  <c r="B5723"/>
  <c r="A5724"/>
  <c r="B5724"/>
  <c r="A5725"/>
  <c r="B5725"/>
  <c r="A5726"/>
  <c r="B5726"/>
  <c r="A5727"/>
  <c r="B5727"/>
  <c r="A5728"/>
  <c r="B5728"/>
  <c r="A5729"/>
  <c r="B5729"/>
  <c r="A5730"/>
  <c r="B5730"/>
  <c r="A5731"/>
  <c r="B5731"/>
  <c r="A5732"/>
  <c r="B5732"/>
  <c r="A5733"/>
  <c r="B5733"/>
  <c r="A5734"/>
  <c r="B5734"/>
  <c r="A5735"/>
  <c r="B5735"/>
  <c r="A5736"/>
  <c r="B5736"/>
  <c r="A5737"/>
  <c r="B5737"/>
  <c r="A5738"/>
  <c r="B5738"/>
  <c r="A5739"/>
  <c r="B5739"/>
  <c r="A5740"/>
  <c r="B5740"/>
  <c r="A5741"/>
  <c r="B5741"/>
  <c r="A5742"/>
  <c r="B5742"/>
  <c r="A5743"/>
  <c r="B5743"/>
  <c r="A5744"/>
  <c r="B5744"/>
  <c r="A5745"/>
  <c r="B5745"/>
  <c r="A5746"/>
  <c r="B5746"/>
  <c r="A5747"/>
  <c r="B5747"/>
  <c r="A5748"/>
  <c r="B5748"/>
  <c r="A5749"/>
  <c r="B5749"/>
  <c r="A5750"/>
  <c r="B5750"/>
  <c r="A5751"/>
  <c r="B5751"/>
  <c r="A5752"/>
  <c r="B5752"/>
  <c r="A5753"/>
  <c r="B5753"/>
  <c r="A5754"/>
  <c r="B5754"/>
  <c r="A5755"/>
  <c r="B5755"/>
  <c r="A5756"/>
  <c r="B5756"/>
  <c r="A5757"/>
  <c r="B5757"/>
  <c r="A5758"/>
  <c r="B5758"/>
  <c r="A5759"/>
  <c r="B5759"/>
  <c r="A5760"/>
  <c r="B5760"/>
  <c r="A5761"/>
  <c r="B5761"/>
  <c r="A5762"/>
  <c r="B5762"/>
  <c r="A5763"/>
  <c r="B5763"/>
  <c r="A5764"/>
  <c r="B5764"/>
  <c r="A5765"/>
  <c r="B5765"/>
  <c r="A5766"/>
  <c r="B5766"/>
  <c r="A5767"/>
  <c r="B5767"/>
  <c r="A5768"/>
  <c r="B5768"/>
  <c r="A5769"/>
  <c r="B5769"/>
  <c r="A5770"/>
  <c r="B5770"/>
  <c r="A5771"/>
  <c r="B5771"/>
  <c r="A5772"/>
  <c r="B5772"/>
  <c r="A5773"/>
  <c r="B5773"/>
  <c r="A5774"/>
  <c r="B5774"/>
  <c r="A5775"/>
  <c r="B5775"/>
  <c r="A5776"/>
  <c r="B5776"/>
  <c r="A5777"/>
  <c r="B5777"/>
  <c r="A5778"/>
  <c r="B5778"/>
  <c r="A5779"/>
  <c r="B5779"/>
  <c r="A5780"/>
  <c r="B5780"/>
  <c r="A5781"/>
  <c r="B5781"/>
  <c r="A5782"/>
  <c r="B5782"/>
  <c r="A5783"/>
  <c r="B5783"/>
  <c r="A5784"/>
  <c r="B5784"/>
  <c r="A5785"/>
  <c r="B5785"/>
  <c r="A5786"/>
  <c r="B5786"/>
  <c r="A5787"/>
  <c r="B5787"/>
  <c r="A5788"/>
  <c r="B5788"/>
  <c r="A5789"/>
  <c r="B5789"/>
  <c r="A5790"/>
  <c r="B5790"/>
  <c r="A5791"/>
  <c r="B5791"/>
  <c r="A5792"/>
  <c r="B5792"/>
  <c r="A5793"/>
  <c r="B5793"/>
  <c r="A5794"/>
  <c r="B5794"/>
  <c r="A5795"/>
  <c r="B5795"/>
  <c r="A5796"/>
  <c r="B5796"/>
  <c r="A5797"/>
  <c r="B5797"/>
  <c r="A5798"/>
  <c r="B5798"/>
  <c r="A5799"/>
  <c r="B5799"/>
  <c r="A5800"/>
  <c r="B5800"/>
  <c r="A5801"/>
  <c r="B5801"/>
  <c r="A5802"/>
  <c r="B5802"/>
  <c r="A5803"/>
  <c r="B5803"/>
  <c r="A5804"/>
  <c r="B5804"/>
  <c r="A5805"/>
  <c r="B5805"/>
  <c r="A5806"/>
  <c r="B5806"/>
  <c r="A5807"/>
  <c r="B5807"/>
  <c r="A5808"/>
  <c r="B5808"/>
  <c r="A5809"/>
  <c r="B5809"/>
  <c r="A5810"/>
  <c r="B5810"/>
  <c r="A5811"/>
  <c r="B5811"/>
  <c r="A5812"/>
  <c r="B5812"/>
  <c r="A5813"/>
  <c r="B5813"/>
  <c r="A5814"/>
  <c r="B5814"/>
  <c r="A5815"/>
  <c r="B5815"/>
  <c r="A5816"/>
  <c r="B5816"/>
  <c r="A5817"/>
  <c r="B5817"/>
  <c r="A5818"/>
  <c r="B5818"/>
  <c r="A5819"/>
  <c r="B5819"/>
  <c r="A5820"/>
  <c r="B5820"/>
  <c r="A5821"/>
  <c r="B5821"/>
  <c r="A5822"/>
  <c r="B5822"/>
  <c r="A5823"/>
  <c r="B5823"/>
  <c r="A5824"/>
  <c r="B5824"/>
  <c r="A5825"/>
  <c r="B5825"/>
  <c r="A5826"/>
  <c r="B5826"/>
  <c r="A5827"/>
  <c r="B5827"/>
  <c r="A5828"/>
  <c r="B5828"/>
  <c r="A5829"/>
  <c r="B5829"/>
  <c r="A5830"/>
  <c r="B5830"/>
  <c r="A5831"/>
  <c r="B5831"/>
  <c r="A5832"/>
  <c r="B5832"/>
  <c r="A5833"/>
  <c r="B5833"/>
  <c r="A5834"/>
  <c r="B5834"/>
  <c r="A5835"/>
  <c r="B5835"/>
  <c r="A5836"/>
  <c r="B5836"/>
  <c r="A5837"/>
  <c r="B5837"/>
  <c r="A5838"/>
  <c r="B5838"/>
  <c r="A5839"/>
  <c r="B5839"/>
  <c r="A5840"/>
  <c r="B5840"/>
  <c r="A5841"/>
  <c r="B5841"/>
  <c r="A5842"/>
  <c r="B5842"/>
  <c r="A5843"/>
  <c r="B5843"/>
  <c r="A5844"/>
  <c r="B5844"/>
  <c r="A5845"/>
  <c r="B5845"/>
  <c r="A5846"/>
  <c r="B5846"/>
  <c r="A5847"/>
  <c r="B5847"/>
  <c r="A5848"/>
  <c r="B5848"/>
  <c r="A5849"/>
  <c r="B5849"/>
  <c r="A5850"/>
  <c r="B5850"/>
  <c r="A5851"/>
  <c r="B5851"/>
  <c r="A5852"/>
  <c r="B5852"/>
  <c r="A5853"/>
  <c r="B5853"/>
  <c r="A5854"/>
  <c r="B5854"/>
  <c r="A5855"/>
  <c r="B5855"/>
  <c r="A5856"/>
  <c r="B5856"/>
  <c r="A5857"/>
  <c r="B5857"/>
  <c r="A5858"/>
  <c r="B5858"/>
  <c r="A5859"/>
  <c r="B5859"/>
  <c r="A5860"/>
  <c r="B5860"/>
  <c r="A5861"/>
  <c r="B5861"/>
  <c r="A5862"/>
  <c r="B5862"/>
  <c r="A5863"/>
  <c r="B5863"/>
  <c r="A5864"/>
  <c r="B5864"/>
  <c r="A5865"/>
  <c r="B5865"/>
  <c r="A5866"/>
  <c r="B5866"/>
  <c r="A5867"/>
  <c r="B5867"/>
  <c r="A5868"/>
  <c r="B5868"/>
  <c r="A5869"/>
  <c r="B5869"/>
  <c r="A5870"/>
  <c r="B5870"/>
  <c r="A5871"/>
  <c r="B5871"/>
  <c r="A5872"/>
  <c r="B5872"/>
  <c r="A5873"/>
  <c r="B5873"/>
  <c r="A5874"/>
  <c r="B5874"/>
  <c r="A5875"/>
  <c r="B5875"/>
  <c r="A5876"/>
  <c r="B5876"/>
  <c r="A5877"/>
  <c r="B5877"/>
  <c r="A5878"/>
  <c r="B5878"/>
  <c r="A5879"/>
  <c r="B5879"/>
  <c r="A5880"/>
  <c r="B5880"/>
  <c r="A5881"/>
  <c r="B5881"/>
  <c r="A5882"/>
  <c r="B5882"/>
  <c r="A5883"/>
  <c r="B5883"/>
  <c r="A5884"/>
  <c r="B5884"/>
  <c r="A5885"/>
  <c r="B5885"/>
  <c r="A5886"/>
  <c r="B5886"/>
  <c r="A5887"/>
  <c r="B5887"/>
  <c r="A5888"/>
  <c r="B5888"/>
  <c r="A5889"/>
  <c r="B5889"/>
  <c r="A5890"/>
  <c r="B5890"/>
  <c r="A5891"/>
  <c r="B5891"/>
  <c r="A5892"/>
  <c r="B5892"/>
  <c r="A5893"/>
  <c r="B5893"/>
  <c r="A5894"/>
  <c r="B5894"/>
  <c r="A5895"/>
  <c r="B5895"/>
  <c r="A5896"/>
  <c r="B5896"/>
  <c r="A5897"/>
  <c r="B5897"/>
  <c r="A5898"/>
  <c r="B5898"/>
  <c r="A5899"/>
  <c r="B5899"/>
  <c r="A5900"/>
  <c r="B5900"/>
  <c r="A5901"/>
  <c r="B5901"/>
  <c r="A5902"/>
  <c r="B5902"/>
  <c r="A5903"/>
  <c r="B5903"/>
  <c r="A5904"/>
  <c r="B5904"/>
  <c r="A5905"/>
  <c r="B5905"/>
  <c r="A5906"/>
  <c r="B5906"/>
  <c r="A5907"/>
  <c r="B5907"/>
  <c r="A5908"/>
  <c r="B5908"/>
  <c r="A5909"/>
  <c r="B5909"/>
  <c r="A5910"/>
  <c r="B5910"/>
  <c r="A5911"/>
  <c r="B5911"/>
  <c r="A5912"/>
  <c r="B5912"/>
  <c r="A5913"/>
  <c r="B5913"/>
  <c r="A5914"/>
  <c r="B5914"/>
  <c r="A5915"/>
  <c r="B5915"/>
  <c r="A5916"/>
  <c r="B5916"/>
  <c r="A5917"/>
  <c r="B5917"/>
  <c r="A5918"/>
  <c r="B5918"/>
  <c r="A5919"/>
  <c r="B5919"/>
  <c r="A5920"/>
  <c r="B5920"/>
  <c r="A5921"/>
  <c r="B5921"/>
  <c r="A5922"/>
  <c r="B5922"/>
  <c r="A5923"/>
  <c r="B5923"/>
  <c r="A5924"/>
  <c r="B5924"/>
  <c r="A5925"/>
  <c r="B5925"/>
  <c r="A5926"/>
  <c r="B5926"/>
  <c r="A5927"/>
  <c r="B5927"/>
  <c r="A5928"/>
  <c r="B5928"/>
  <c r="A5929"/>
  <c r="B5929"/>
  <c r="A5930"/>
  <c r="B5930"/>
  <c r="A5931"/>
  <c r="B5931"/>
  <c r="A5932"/>
  <c r="B5932"/>
  <c r="A5933"/>
  <c r="B5933"/>
  <c r="A5934"/>
  <c r="B5934"/>
  <c r="A5935"/>
  <c r="B5935"/>
  <c r="A5936"/>
  <c r="B5936"/>
  <c r="A5937"/>
  <c r="B5937"/>
  <c r="A5938"/>
  <c r="B5938"/>
  <c r="A5939"/>
  <c r="B5939"/>
  <c r="A5940"/>
  <c r="B5940"/>
  <c r="A5941"/>
  <c r="B5941"/>
  <c r="A5942"/>
  <c r="B5942"/>
  <c r="A5943"/>
  <c r="B5943"/>
  <c r="A5944"/>
  <c r="B5944"/>
  <c r="A5945"/>
  <c r="B5945"/>
  <c r="A5946"/>
  <c r="B5946"/>
  <c r="A5947"/>
  <c r="B5947"/>
  <c r="A5948"/>
  <c r="B5948"/>
  <c r="A5949"/>
  <c r="B5949"/>
  <c r="A5950"/>
  <c r="B5950"/>
  <c r="A5951"/>
  <c r="B5951"/>
  <c r="A5952"/>
  <c r="B5952"/>
  <c r="A5953"/>
  <c r="B5953"/>
  <c r="A5954"/>
  <c r="B5954"/>
  <c r="A5955"/>
  <c r="B5955"/>
  <c r="A5956"/>
  <c r="B5956"/>
  <c r="A5957"/>
  <c r="B5957"/>
  <c r="A5958"/>
  <c r="B5958"/>
  <c r="A5959"/>
  <c r="B5959"/>
  <c r="A5960"/>
  <c r="B5960"/>
  <c r="A5961"/>
  <c r="B5961"/>
  <c r="A5962"/>
  <c r="B5962"/>
  <c r="A5963"/>
  <c r="B5963"/>
  <c r="A5964"/>
  <c r="B5964"/>
  <c r="A5965"/>
  <c r="B5965"/>
  <c r="A5966"/>
  <c r="B5966"/>
  <c r="A5967"/>
  <c r="B5967"/>
  <c r="A5968"/>
  <c r="B5968"/>
  <c r="A5969"/>
  <c r="B5969"/>
  <c r="A5970"/>
  <c r="B5970"/>
  <c r="A5971"/>
  <c r="B5971"/>
  <c r="A5972"/>
  <c r="B5972"/>
  <c r="A5973"/>
  <c r="B5973"/>
  <c r="A5974"/>
  <c r="B5974"/>
  <c r="A5975"/>
  <c r="B5975"/>
  <c r="A5976"/>
  <c r="B5976"/>
  <c r="A5977"/>
  <c r="B5977"/>
  <c r="A5978"/>
  <c r="B5978"/>
  <c r="A5979"/>
  <c r="B5979"/>
  <c r="A5980"/>
  <c r="B5980"/>
  <c r="A5981"/>
  <c r="B5981"/>
  <c r="A5982"/>
  <c r="B5982"/>
  <c r="A5983"/>
  <c r="B5983"/>
  <c r="A5984"/>
  <c r="B5984"/>
  <c r="A5985"/>
  <c r="B5985"/>
  <c r="A5986"/>
  <c r="B5986"/>
  <c r="A5987"/>
  <c r="B5987"/>
  <c r="A5988"/>
  <c r="B5988"/>
  <c r="A5989"/>
  <c r="B5989"/>
  <c r="A5990"/>
  <c r="B5990"/>
  <c r="A5991"/>
  <c r="B5991"/>
  <c r="A5992"/>
  <c r="B5992"/>
  <c r="A5993"/>
  <c r="B5993"/>
  <c r="A5994"/>
  <c r="B5994"/>
  <c r="A5995"/>
  <c r="B5995"/>
  <c r="A5996"/>
  <c r="B5996"/>
  <c r="A5997"/>
  <c r="B5997"/>
  <c r="A5998"/>
  <c r="B5998"/>
  <c r="A5999"/>
  <c r="B5999"/>
  <c r="A6000"/>
  <c r="B6000"/>
  <c r="A6001"/>
  <c r="B6001"/>
  <c r="A6002"/>
  <c r="B6002"/>
  <c r="A6003"/>
  <c r="B6003"/>
  <c r="A6004"/>
  <c r="B6004"/>
  <c r="A6005"/>
  <c r="B6005"/>
  <c r="A6006"/>
  <c r="B6006"/>
  <c r="A6007"/>
  <c r="B6007"/>
  <c r="A6008"/>
  <c r="B6008"/>
  <c r="A6009"/>
  <c r="B6009"/>
  <c r="A6010"/>
  <c r="B6010"/>
  <c r="A6011"/>
  <c r="B6011"/>
  <c r="A6012"/>
  <c r="B6012"/>
  <c r="A6013"/>
  <c r="B6013"/>
  <c r="A6014"/>
  <c r="B6014"/>
  <c r="A6015"/>
  <c r="B6015"/>
  <c r="A6016"/>
  <c r="B6016"/>
  <c r="A6017"/>
  <c r="B6017"/>
  <c r="A6018"/>
  <c r="B6018"/>
  <c r="A6019"/>
  <c r="B6019"/>
  <c r="A6020"/>
  <c r="B6020"/>
  <c r="A6021"/>
  <c r="B6021"/>
  <c r="A6022"/>
  <c r="B6022"/>
  <c r="A6023"/>
  <c r="B6023"/>
  <c r="A6024"/>
  <c r="B6024"/>
  <c r="A6025"/>
  <c r="B6025"/>
  <c r="A6026"/>
  <c r="B6026"/>
  <c r="A6027"/>
  <c r="B6027"/>
  <c r="A6028"/>
  <c r="B6028"/>
  <c r="A6029"/>
  <c r="B6029"/>
  <c r="A6030"/>
  <c r="B6030"/>
  <c r="A6031"/>
  <c r="B6031"/>
  <c r="A6032"/>
  <c r="B6032"/>
  <c r="A6033"/>
  <c r="B6033"/>
  <c r="A6034"/>
  <c r="B6034"/>
  <c r="A6035"/>
  <c r="B6035"/>
  <c r="A6036"/>
  <c r="B6036"/>
  <c r="A6037"/>
  <c r="B6037"/>
  <c r="A6038"/>
  <c r="B6038"/>
  <c r="A6039"/>
  <c r="B6039"/>
  <c r="A6040"/>
  <c r="B6040"/>
  <c r="A6041"/>
  <c r="B6041"/>
  <c r="A6042"/>
  <c r="B6042"/>
  <c r="A6043"/>
  <c r="B6043"/>
  <c r="A6044"/>
  <c r="B6044"/>
  <c r="A6045"/>
  <c r="B6045"/>
  <c r="A6046"/>
  <c r="B6046"/>
  <c r="A6047"/>
  <c r="B6047"/>
  <c r="A6048"/>
  <c r="B6048"/>
  <c r="A6049"/>
  <c r="B6049"/>
  <c r="A6050"/>
  <c r="B6050"/>
  <c r="A6051"/>
  <c r="B6051"/>
  <c r="A6052"/>
  <c r="B6052"/>
  <c r="A6053"/>
  <c r="B6053"/>
  <c r="A6054"/>
  <c r="B6054"/>
  <c r="A6055"/>
  <c r="B6055"/>
  <c r="A6056"/>
  <c r="B6056"/>
  <c r="A6057"/>
  <c r="B6057"/>
  <c r="A6058"/>
  <c r="B6058"/>
  <c r="A6059"/>
  <c r="B6059"/>
  <c r="A6060"/>
  <c r="B6060"/>
  <c r="A6061"/>
  <c r="B6061"/>
  <c r="A6062"/>
  <c r="B6062"/>
  <c r="A6063"/>
  <c r="B6063"/>
  <c r="A6064"/>
  <c r="B6064"/>
  <c r="A6065"/>
  <c r="B6065"/>
  <c r="A6066"/>
  <c r="B6066"/>
  <c r="A6067"/>
  <c r="B6067"/>
  <c r="A6068"/>
  <c r="B6068"/>
  <c r="A6069"/>
  <c r="B6069"/>
  <c r="A6070"/>
  <c r="B6070"/>
  <c r="A6071"/>
  <c r="B6071"/>
  <c r="A6072"/>
  <c r="B6072"/>
  <c r="A6073"/>
  <c r="B6073"/>
  <c r="A6074"/>
  <c r="B6074"/>
  <c r="A6075"/>
  <c r="B6075"/>
  <c r="A6076"/>
  <c r="B6076"/>
  <c r="A6077"/>
  <c r="B6077"/>
  <c r="A6078"/>
  <c r="B6078"/>
  <c r="A6079"/>
  <c r="B6079"/>
  <c r="A6080"/>
  <c r="B6080"/>
  <c r="A6081"/>
  <c r="B6081"/>
  <c r="A6082"/>
  <c r="B6082"/>
  <c r="A6083"/>
  <c r="B6083"/>
  <c r="A6084"/>
  <c r="B6084"/>
  <c r="A6085"/>
  <c r="B6085"/>
  <c r="A6086"/>
  <c r="B6086"/>
  <c r="A6087"/>
  <c r="B6087"/>
  <c r="A6088"/>
  <c r="B6088"/>
  <c r="A6089"/>
  <c r="B6089"/>
  <c r="A6090"/>
  <c r="B6090"/>
  <c r="A6091"/>
  <c r="B6091"/>
  <c r="A6092"/>
  <c r="B6092"/>
  <c r="A6093"/>
  <c r="B6093"/>
  <c r="A6094"/>
  <c r="B6094"/>
  <c r="A6095"/>
  <c r="B6095"/>
  <c r="A6096"/>
  <c r="B6096"/>
  <c r="A6097"/>
  <c r="B6097"/>
  <c r="A6098"/>
  <c r="B6098"/>
  <c r="A6099"/>
  <c r="B6099"/>
  <c r="A6100"/>
  <c r="B6100"/>
  <c r="A6101"/>
  <c r="B6101"/>
  <c r="A6102"/>
  <c r="B6102"/>
  <c r="A6103"/>
  <c r="B6103"/>
  <c r="A6104"/>
  <c r="B6104"/>
  <c r="A6105"/>
  <c r="B6105"/>
  <c r="A6106"/>
  <c r="B6106"/>
  <c r="A6107"/>
  <c r="B6107"/>
  <c r="A6108"/>
  <c r="B6108"/>
  <c r="A6109"/>
  <c r="B6109"/>
  <c r="A6110"/>
  <c r="B6110"/>
  <c r="A6111"/>
  <c r="B6111"/>
  <c r="A6112"/>
  <c r="B6112"/>
  <c r="A6113"/>
  <c r="B6113"/>
  <c r="A6114"/>
  <c r="B6114"/>
  <c r="A6115"/>
  <c r="B6115"/>
  <c r="A6116"/>
  <c r="B6116"/>
  <c r="A6117"/>
  <c r="B6117"/>
  <c r="A6118"/>
  <c r="B6118"/>
  <c r="A6119"/>
  <c r="B6119"/>
  <c r="A6120"/>
  <c r="B6120"/>
  <c r="A6121"/>
  <c r="B6121"/>
  <c r="A6122"/>
  <c r="B6122"/>
  <c r="A6123"/>
  <c r="B6123"/>
  <c r="A6124"/>
  <c r="B6124"/>
  <c r="A6125"/>
  <c r="B6125"/>
  <c r="A6126"/>
  <c r="B6126"/>
  <c r="A6127"/>
  <c r="B6127"/>
  <c r="A6128"/>
  <c r="B6128"/>
  <c r="A6129"/>
  <c r="B6129"/>
  <c r="A6130"/>
  <c r="B6130"/>
  <c r="A6131"/>
  <c r="B6131"/>
  <c r="A6132"/>
  <c r="B6132"/>
  <c r="A6133"/>
  <c r="B6133"/>
  <c r="A6134"/>
  <c r="B6134"/>
  <c r="A6135"/>
  <c r="B6135"/>
  <c r="A6136"/>
  <c r="B6136"/>
  <c r="A6137"/>
  <c r="B6137"/>
  <c r="A6138"/>
  <c r="B6138"/>
  <c r="A6139"/>
  <c r="B6139"/>
  <c r="A6140"/>
  <c r="B6140"/>
  <c r="A6141"/>
  <c r="B6141"/>
  <c r="A6142"/>
  <c r="B6142"/>
  <c r="A6143"/>
  <c r="B6143"/>
  <c r="A6144"/>
  <c r="B6144"/>
  <c r="A6145"/>
  <c r="B6145"/>
  <c r="A6146"/>
  <c r="B6146"/>
  <c r="A6147"/>
  <c r="B6147"/>
  <c r="A6148"/>
  <c r="B6148"/>
  <c r="A6149"/>
  <c r="B6149"/>
  <c r="A6150"/>
  <c r="B6150"/>
  <c r="A6151"/>
  <c r="B6151"/>
  <c r="A6152"/>
  <c r="B6152"/>
  <c r="A6153"/>
  <c r="B6153"/>
  <c r="A6154"/>
  <c r="B6154"/>
  <c r="A6155"/>
  <c r="B6155"/>
  <c r="A6156"/>
  <c r="B6156"/>
  <c r="A6157"/>
  <c r="B6157"/>
  <c r="A6158"/>
  <c r="B6158"/>
  <c r="A6159"/>
  <c r="B6159"/>
  <c r="A6160"/>
  <c r="B6160"/>
  <c r="A6161"/>
  <c r="B6161"/>
  <c r="A6162"/>
  <c r="B6162"/>
  <c r="A6163"/>
  <c r="B6163"/>
  <c r="A6164"/>
  <c r="B6164"/>
  <c r="A6165"/>
  <c r="B6165"/>
  <c r="A6166"/>
  <c r="B6166"/>
  <c r="A6167"/>
  <c r="B6167"/>
  <c r="A6168"/>
  <c r="B6168"/>
  <c r="A6169"/>
  <c r="B6169"/>
  <c r="A6170"/>
  <c r="B6170"/>
  <c r="A6171"/>
  <c r="B6171"/>
  <c r="A6172"/>
  <c r="B6172"/>
  <c r="A6173"/>
  <c r="B6173"/>
  <c r="A6174"/>
  <c r="B6174"/>
  <c r="A6175"/>
  <c r="B6175"/>
  <c r="A6176"/>
  <c r="B6176"/>
  <c r="A6177"/>
  <c r="B6177"/>
  <c r="A6178"/>
  <c r="B6178"/>
  <c r="A6179"/>
  <c r="B6179"/>
  <c r="A6180"/>
  <c r="B6180"/>
  <c r="A6181"/>
  <c r="B6181"/>
  <c r="A6182"/>
  <c r="B6182"/>
  <c r="A6183"/>
  <c r="B6183"/>
  <c r="A6184"/>
  <c r="B6184"/>
  <c r="A6185"/>
  <c r="B6185"/>
  <c r="A6186"/>
  <c r="B6186"/>
  <c r="A6187"/>
  <c r="B6187"/>
  <c r="A6188"/>
  <c r="B6188"/>
  <c r="A6189"/>
  <c r="B6189"/>
  <c r="A6190"/>
  <c r="B6190"/>
  <c r="A6191"/>
  <c r="B6191"/>
  <c r="A6192"/>
  <c r="B6192"/>
  <c r="A6193"/>
  <c r="B6193"/>
  <c r="A6194"/>
  <c r="B6194"/>
  <c r="A6195"/>
  <c r="B6195"/>
  <c r="A6196"/>
  <c r="B6196"/>
  <c r="A6197"/>
  <c r="B6197"/>
  <c r="A6198"/>
  <c r="B6198"/>
  <c r="A6199"/>
  <c r="B6199"/>
  <c r="A6200"/>
  <c r="B6200"/>
  <c r="A6201"/>
  <c r="B6201"/>
  <c r="A6202"/>
  <c r="B6202"/>
  <c r="A6203"/>
  <c r="B6203"/>
  <c r="A6204"/>
  <c r="B6204"/>
  <c r="A6205"/>
  <c r="B6205"/>
  <c r="A6206"/>
  <c r="B6206"/>
  <c r="A6207"/>
  <c r="B6207"/>
  <c r="A6208"/>
  <c r="B6208"/>
  <c r="A6209"/>
  <c r="B6209"/>
  <c r="A6210"/>
  <c r="B6210"/>
  <c r="A6211"/>
  <c r="B6211"/>
  <c r="A6212"/>
  <c r="B6212"/>
  <c r="A6213"/>
  <c r="B6213"/>
  <c r="A6214"/>
  <c r="B6214"/>
  <c r="A6215"/>
  <c r="B6215"/>
  <c r="A6216"/>
  <c r="B6216"/>
  <c r="A6217"/>
  <c r="B6217"/>
  <c r="A6218"/>
  <c r="B6218"/>
  <c r="A6219"/>
  <c r="B6219"/>
  <c r="A6220"/>
  <c r="B6220"/>
  <c r="A6221"/>
  <c r="B6221"/>
  <c r="A6222"/>
  <c r="B6222"/>
  <c r="A6223"/>
  <c r="B6223"/>
  <c r="A6224"/>
  <c r="B6224"/>
  <c r="A6225"/>
  <c r="B6225"/>
  <c r="A6226"/>
  <c r="B6226"/>
  <c r="A6227"/>
  <c r="B6227"/>
  <c r="A6228"/>
  <c r="B6228"/>
  <c r="A6229"/>
  <c r="B6229"/>
  <c r="A6230"/>
  <c r="B6230"/>
  <c r="A6231"/>
  <c r="B6231"/>
  <c r="A6232"/>
  <c r="B6232"/>
  <c r="A6233"/>
  <c r="B6233"/>
  <c r="A6234"/>
  <c r="B6234"/>
  <c r="A6235"/>
  <c r="B6235"/>
  <c r="A6236"/>
  <c r="B6236"/>
  <c r="A6237"/>
  <c r="B6237"/>
  <c r="A6238"/>
  <c r="B6238"/>
  <c r="A6239"/>
  <c r="B6239"/>
  <c r="A6240"/>
  <c r="B6240"/>
  <c r="A6241"/>
  <c r="B6241"/>
  <c r="A6242"/>
  <c r="B6242"/>
  <c r="A6243"/>
  <c r="B6243"/>
  <c r="A6244"/>
  <c r="B6244"/>
  <c r="A6245"/>
  <c r="B6245"/>
  <c r="A6246"/>
  <c r="B6246"/>
  <c r="A6247"/>
  <c r="B6247"/>
  <c r="A6248"/>
  <c r="B6248"/>
  <c r="A6249"/>
  <c r="B6249"/>
  <c r="A6250"/>
  <c r="B6250"/>
  <c r="A6251"/>
  <c r="B6251"/>
  <c r="A6252"/>
  <c r="B6252"/>
  <c r="A6253"/>
  <c r="B6253"/>
  <c r="A6254"/>
  <c r="B6254"/>
  <c r="A6255"/>
  <c r="B6255"/>
  <c r="A6256"/>
  <c r="B6256"/>
  <c r="A6257"/>
  <c r="B6257"/>
  <c r="A6258"/>
  <c r="B6258"/>
  <c r="A6259"/>
  <c r="B6259"/>
  <c r="A6260"/>
  <c r="B6260"/>
  <c r="A6261"/>
  <c r="B6261"/>
  <c r="A6262"/>
  <c r="B6262"/>
  <c r="A6263"/>
  <c r="B6263"/>
  <c r="A6264"/>
  <c r="B6264"/>
  <c r="A6265"/>
  <c r="B6265"/>
  <c r="A6266"/>
  <c r="B6266"/>
  <c r="A6267"/>
  <c r="B6267"/>
  <c r="A6268"/>
  <c r="B6268"/>
  <c r="A6269"/>
  <c r="B6269"/>
  <c r="A6270"/>
  <c r="B6270"/>
  <c r="A6271"/>
  <c r="B6271"/>
  <c r="A6272"/>
  <c r="B6272"/>
  <c r="A6273"/>
  <c r="B6273"/>
  <c r="A6274"/>
  <c r="B6274"/>
  <c r="A6275"/>
  <c r="B6275"/>
  <c r="A6276"/>
  <c r="B6276"/>
  <c r="A6277"/>
  <c r="B6277"/>
  <c r="A6278"/>
  <c r="B6278"/>
  <c r="A6279"/>
  <c r="B6279"/>
  <c r="A6280"/>
  <c r="B6280"/>
  <c r="A6281"/>
  <c r="B6281"/>
  <c r="A6282"/>
  <c r="B6282"/>
  <c r="A6283"/>
  <c r="B6283"/>
  <c r="A6284"/>
  <c r="B6284"/>
  <c r="A6285"/>
  <c r="B6285"/>
  <c r="A6286"/>
  <c r="B6286"/>
  <c r="A6287"/>
  <c r="B6287"/>
  <c r="A6288"/>
  <c r="B6288"/>
  <c r="A6289"/>
  <c r="B6289"/>
  <c r="A6290"/>
  <c r="B6290"/>
  <c r="A6291"/>
  <c r="B6291"/>
  <c r="A6292"/>
  <c r="B6292"/>
  <c r="A6293"/>
  <c r="B6293"/>
  <c r="A6294"/>
  <c r="B6294"/>
  <c r="A6295"/>
  <c r="B6295"/>
  <c r="A6296"/>
  <c r="B6296"/>
  <c r="A6297"/>
  <c r="B6297"/>
  <c r="A6298"/>
  <c r="B6298"/>
  <c r="A6299"/>
  <c r="B6299"/>
  <c r="A6300"/>
  <c r="B6300"/>
  <c r="A6301"/>
  <c r="B6301"/>
  <c r="A6302"/>
  <c r="B6302"/>
  <c r="A6303"/>
  <c r="B6303"/>
  <c r="A6304"/>
  <c r="B6304"/>
  <c r="A6305"/>
  <c r="B6305"/>
  <c r="A6306"/>
  <c r="B6306"/>
  <c r="A6307"/>
  <c r="B6307"/>
  <c r="A6308"/>
  <c r="B6308"/>
  <c r="A6309"/>
  <c r="B6309"/>
  <c r="A6310"/>
  <c r="B6310"/>
  <c r="A6311"/>
  <c r="B6311"/>
  <c r="A6312"/>
  <c r="B6312"/>
  <c r="A6313"/>
  <c r="B6313"/>
  <c r="A6314"/>
  <c r="B6314"/>
  <c r="A6315"/>
  <c r="B6315"/>
  <c r="A6316"/>
  <c r="B6316"/>
  <c r="A6317"/>
  <c r="B6317"/>
  <c r="A6318"/>
  <c r="B6318"/>
  <c r="A6319"/>
  <c r="B6319"/>
  <c r="A6320"/>
  <c r="B6320"/>
  <c r="A6321"/>
  <c r="B6321"/>
  <c r="A6322"/>
  <c r="B6322"/>
  <c r="A6323"/>
  <c r="B6323"/>
  <c r="A6324"/>
  <c r="B6324"/>
  <c r="A6325"/>
  <c r="B6325"/>
  <c r="A6326"/>
  <c r="B6326"/>
  <c r="A6327"/>
  <c r="B6327"/>
  <c r="A6328"/>
  <c r="B6328"/>
  <c r="A6329"/>
  <c r="B6329"/>
  <c r="A6330"/>
  <c r="B6330"/>
  <c r="A6331"/>
  <c r="B6331"/>
  <c r="A6332"/>
  <c r="B6332"/>
  <c r="A6333"/>
  <c r="B6333"/>
  <c r="A6334"/>
  <c r="B6334"/>
  <c r="A6335"/>
  <c r="B6335"/>
  <c r="A6336"/>
  <c r="B6336"/>
  <c r="A6337"/>
  <c r="B6337"/>
  <c r="A6338"/>
  <c r="B6338"/>
  <c r="A6339"/>
  <c r="B6339"/>
  <c r="A6340"/>
  <c r="B6340"/>
  <c r="A6341"/>
  <c r="B6341"/>
  <c r="A6342"/>
  <c r="B6342"/>
  <c r="A6343"/>
  <c r="B6343"/>
  <c r="A6344"/>
  <c r="B6344"/>
  <c r="A6345"/>
  <c r="B6345"/>
  <c r="A6346"/>
  <c r="B6346"/>
  <c r="A6347"/>
  <c r="B6347"/>
  <c r="A6348"/>
  <c r="B6348"/>
  <c r="A6349"/>
  <c r="B6349"/>
  <c r="A6350"/>
  <c r="B6350"/>
  <c r="A6351"/>
  <c r="B6351"/>
  <c r="A6352"/>
  <c r="B6352"/>
  <c r="A6353"/>
  <c r="B6353"/>
  <c r="A6354"/>
  <c r="B6354"/>
  <c r="A6355"/>
  <c r="B6355"/>
  <c r="A6356"/>
  <c r="B6356"/>
  <c r="A6357"/>
  <c r="B6357"/>
  <c r="A6358"/>
  <c r="B6358"/>
  <c r="A6359"/>
  <c r="B6359"/>
  <c r="A6360"/>
  <c r="B6360"/>
  <c r="A6361"/>
  <c r="B6361"/>
  <c r="A6362"/>
  <c r="B6362"/>
  <c r="A6363"/>
  <c r="B6363"/>
  <c r="A6364"/>
  <c r="B6364"/>
  <c r="A6365"/>
  <c r="B6365"/>
  <c r="A6366"/>
  <c r="B6366"/>
  <c r="A6367"/>
  <c r="B6367"/>
  <c r="A6368"/>
  <c r="B6368"/>
  <c r="A6369"/>
  <c r="B6369"/>
  <c r="A6370"/>
  <c r="B6370"/>
  <c r="A6371"/>
  <c r="B6371"/>
  <c r="A6372"/>
  <c r="B6372"/>
  <c r="A6373"/>
  <c r="B6373"/>
  <c r="A6374"/>
  <c r="B6374"/>
  <c r="A6375"/>
  <c r="B6375"/>
  <c r="A6376"/>
  <c r="B6376"/>
  <c r="A6377"/>
  <c r="B6377"/>
  <c r="A6378"/>
  <c r="B6378"/>
  <c r="A6379"/>
  <c r="B6379"/>
  <c r="A6380"/>
  <c r="B6380"/>
  <c r="A6381"/>
  <c r="B6381"/>
  <c r="A6382"/>
  <c r="B6382"/>
  <c r="A6383"/>
  <c r="B6383"/>
  <c r="A6384"/>
  <c r="B6384"/>
  <c r="A6385"/>
  <c r="B6385"/>
  <c r="A6386"/>
  <c r="B6386"/>
  <c r="A6387"/>
  <c r="B6387"/>
  <c r="A6388"/>
  <c r="B6388"/>
  <c r="A6389"/>
  <c r="B6389"/>
  <c r="A6390"/>
  <c r="B6390"/>
  <c r="A6391"/>
  <c r="B6391"/>
  <c r="A6392"/>
  <c r="B6392"/>
  <c r="A6393"/>
  <c r="B6393"/>
  <c r="A6394"/>
  <c r="B6394"/>
  <c r="A6395"/>
  <c r="B6395"/>
  <c r="A6396"/>
  <c r="B6396"/>
  <c r="A6397"/>
  <c r="B6397"/>
  <c r="A6398"/>
  <c r="B6398"/>
  <c r="A6399"/>
  <c r="B6399"/>
  <c r="A6400"/>
  <c r="B6400"/>
  <c r="A6401"/>
  <c r="B6401"/>
  <c r="A6402"/>
  <c r="B6402"/>
  <c r="A6403"/>
  <c r="B6403"/>
  <c r="A6404"/>
  <c r="B6404"/>
  <c r="A6405"/>
  <c r="B6405"/>
  <c r="A6406"/>
  <c r="B6406"/>
  <c r="A6407"/>
  <c r="B6407"/>
  <c r="A6408"/>
  <c r="B6408"/>
  <c r="A6409"/>
  <c r="B6409"/>
  <c r="A6410"/>
  <c r="B6410"/>
  <c r="A6411"/>
  <c r="B6411"/>
  <c r="A6412"/>
  <c r="B6412"/>
  <c r="A6413"/>
  <c r="B6413"/>
  <c r="A6414"/>
  <c r="B6414"/>
  <c r="A6415"/>
  <c r="B6415"/>
  <c r="A6416"/>
  <c r="B6416"/>
  <c r="A6417"/>
  <c r="B6417"/>
  <c r="A6418"/>
  <c r="B6418"/>
  <c r="A6419"/>
  <c r="B6419"/>
  <c r="A6420"/>
  <c r="B6420"/>
  <c r="A6421"/>
  <c r="B6421"/>
  <c r="A6422"/>
  <c r="B6422"/>
  <c r="A6423"/>
  <c r="B6423"/>
  <c r="A6424"/>
  <c r="B6424"/>
  <c r="A6425"/>
  <c r="B6425"/>
  <c r="A6426"/>
  <c r="B6426"/>
  <c r="A6427"/>
  <c r="B6427"/>
  <c r="A6428"/>
  <c r="B6428"/>
  <c r="A6429"/>
  <c r="B6429"/>
  <c r="A6430"/>
  <c r="B6430"/>
  <c r="A6431"/>
  <c r="B6431"/>
  <c r="A6432"/>
  <c r="B6432"/>
  <c r="A6433"/>
  <c r="B6433"/>
  <c r="A6434"/>
  <c r="B6434"/>
  <c r="A6435"/>
  <c r="B6435"/>
  <c r="A6436"/>
  <c r="B6436"/>
  <c r="A6437"/>
  <c r="B6437"/>
  <c r="A6438"/>
  <c r="B6438"/>
  <c r="A6439"/>
  <c r="B6439"/>
  <c r="A6440"/>
  <c r="B6440"/>
  <c r="A6441"/>
  <c r="B6441"/>
  <c r="A6442"/>
  <c r="B6442"/>
  <c r="A6443"/>
  <c r="B6443"/>
  <c r="A6444"/>
  <c r="B6444"/>
  <c r="A6445"/>
  <c r="B6445"/>
  <c r="A6446"/>
  <c r="B6446"/>
  <c r="A6447"/>
  <c r="B6447"/>
  <c r="A6448"/>
  <c r="B6448"/>
  <c r="A6449"/>
  <c r="B6449"/>
  <c r="A6450"/>
  <c r="B6450"/>
  <c r="A6451"/>
  <c r="B6451"/>
  <c r="A6452"/>
  <c r="B6452"/>
  <c r="A6453"/>
  <c r="B6453"/>
  <c r="A6454"/>
  <c r="B6454"/>
  <c r="A6455"/>
  <c r="B6455"/>
  <c r="A6456"/>
  <c r="B6456"/>
  <c r="A6457"/>
  <c r="B6457"/>
  <c r="A6458"/>
  <c r="B6458"/>
  <c r="A6459"/>
  <c r="B6459"/>
  <c r="A6460"/>
  <c r="B6460"/>
  <c r="A6461"/>
  <c r="B6461"/>
  <c r="A6462"/>
  <c r="B6462"/>
  <c r="A6463"/>
  <c r="B6463"/>
  <c r="A6464"/>
  <c r="B6464"/>
  <c r="A6465"/>
  <c r="B6465"/>
  <c r="A6466"/>
  <c r="B6466"/>
  <c r="A6467"/>
  <c r="B6467"/>
  <c r="A6468"/>
  <c r="B6468"/>
  <c r="A6469"/>
  <c r="B6469"/>
  <c r="A6470"/>
  <c r="B6470"/>
  <c r="A6471"/>
  <c r="B6471"/>
  <c r="A6472"/>
  <c r="B6472"/>
  <c r="A6473"/>
  <c r="B6473"/>
  <c r="A6474"/>
  <c r="B6474"/>
  <c r="A6475"/>
  <c r="B6475"/>
  <c r="A6476"/>
  <c r="B6476"/>
  <c r="A6477"/>
  <c r="B6477"/>
  <c r="A6478"/>
  <c r="B6478"/>
  <c r="A6479"/>
  <c r="B6479"/>
  <c r="A6480"/>
  <c r="B6480"/>
  <c r="A6481"/>
  <c r="B6481"/>
  <c r="A6482"/>
  <c r="B6482"/>
  <c r="A6483"/>
  <c r="B6483"/>
  <c r="A6484"/>
  <c r="B6484"/>
  <c r="A6485"/>
  <c r="B6485"/>
  <c r="A6486"/>
  <c r="B6486"/>
  <c r="A6487"/>
  <c r="B6487"/>
  <c r="A6488"/>
  <c r="B6488"/>
  <c r="A6489"/>
  <c r="B6489"/>
  <c r="A6490"/>
  <c r="B6490"/>
  <c r="A6491"/>
  <c r="B6491"/>
  <c r="A6492"/>
  <c r="B6492"/>
  <c r="A6493"/>
  <c r="B6493"/>
  <c r="A6494"/>
  <c r="B6494"/>
  <c r="A6495"/>
  <c r="B6495"/>
  <c r="A6496"/>
  <c r="B6496"/>
  <c r="A6497"/>
  <c r="B6497"/>
  <c r="A6498"/>
  <c r="B6498"/>
  <c r="A6499"/>
  <c r="B6499"/>
  <c r="A6500"/>
  <c r="B6500"/>
  <c r="A6501"/>
  <c r="B6501"/>
  <c r="A6502"/>
  <c r="B6502"/>
  <c r="A6503"/>
  <c r="B6503"/>
  <c r="A6504"/>
  <c r="B6504"/>
  <c r="A6505"/>
  <c r="B6505"/>
  <c r="A6506"/>
  <c r="B6506"/>
  <c r="A6507"/>
  <c r="B6507"/>
  <c r="A6508"/>
  <c r="B6508"/>
  <c r="A6509"/>
  <c r="B6509"/>
  <c r="A6510"/>
  <c r="B6510"/>
  <c r="A6511"/>
  <c r="B6511"/>
  <c r="A6512"/>
  <c r="B6512"/>
  <c r="A6513"/>
  <c r="B6513"/>
  <c r="A6514"/>
  <c r="B6514"/>
  <c r="A6515"/>
  <c r="B6515"/>
  <c r="A6516"/>
  <c r="B6516"/>
  <c r="A6517"/>
  <c r="B6517"/>
  <c r="A6518"/>
  <c r="B6518"/>
  <c r="A6519"/>
  <c r="B6519"/>
  <c r="A6520"/>
  <c r="B6520"/>
  <c r="A6521"/>
  <c r="B6521"/>
  <c r="A6522"/>
  <c r="B6522"/>
  <c r="A6523"/>
  <c r="B6523"/>
  <c r="A6524"/>
  <c r="B6524"/>
  <c r="A6525"/>
  <c r="B6525"/>
  <c r="A6526"/>
  <c r="B6526"/>
  <c r="A6527"/>
  <c r="B6527"/>
  <c r="A6528"/>
  <c r="B6528"/>
  <c r="A6529"/>
  <c r="B6529"/>
  <c r="A6530"/>
  <c r="B6530"/>
  <c r="A6531"/>
  <c r="B6531"/>
  <c r="A6532"/>
  <c r="B6532"/>
  <c r="A6533"/>
  <c r="B6533"/>
  <c r="A6534"/>
  <c r="B6534"/>
  <c r="A6535"/>
  <c r="B6535"/>
  <c r="A6536"/>
  <c r="B6536"/>
  <c r="A6537"/>
  <c r="B6537"/>
  <c r="A6538"/>
  <c r="B6538"/>
  <c r="A6539"/>
  <c r="B6539"/>
  <c r="A6540"/>
  <c r="B6540"/>
  <c r="A6541"/>
  <c r="B6541"/>
  <c r="A6542"/>
  <c r="B6542"/>
  <c r="A6543"/>
  <c r="B6543"/>
  <c r="A6544"/>
  <c r="B6544"/>
  <c r="A6545"/>
  <c r="B6545"/>
  <c r="A6546"/>
  <c r="B6546"/>
  <c r="A6547"/>
  <c r="B6547"/>
  <c r="A6548"/>
  <c r="B6548"/>
  <c r="A6549"/>
  <c r="B6549"/>
  <c r="A6550"/>
  <c r="B6550"/>
  <c r="A6551"/>
  <c r="B6551"/>
  <c r="A6552"/>
  <c r="B6552"/>
  <c r="A6553"/>
  <c r="B6553"/>
  <c r="A6554"/>
  <c r="B6554"/>
  <c r="A6555"/>
  <c r="B6555"/>
  <c r="A6556"/>
  <c r="B6556"/>
  <c r="A6557"/>
  <c r="B6557"/>
  <c r="A6558"/>
  <c r="B6558"/>
  <c r="A6559"/>
  <c r="B6559"/>
  <c r="A6560"/>
  <c r="B6560"/>
  <c r="A6561"/>
  <c r="B6561"/>
  <c r="A6562"/>
  <c r="B6562"/>
  <c r="A6563"/>
  <c r="B6563"/>
  <c r="A6564"/>
  <c r="B6564"/>
  <c r="A6565"/>
  <c r="B6565"/>
  <c r="A6566"/>
  <c r="B6566"/>
  <c r="A6567"/>
  <c r="B6567"/>
  <c r="A6568"/>
  <c r="B6568"/>
  <c r="A6569"/>
  <c r="B6569"/>
  <c r="A6570"/>
  <c r="B6570"/>
  <c r="A6571"/>
  <c r="B6571"/>
  <c r="A6572"/>
  <c r="B6572"/>
  <c r="A6573"/>
  <c r="B6573"/>
  <c r="A6574"/>
  <c r="B6574"/>
  <c r="A6575"/>
  <c r="B6575"/>
  <c r="A6576"/>
  <c r="B6576"/>
  <c r="A6577"/>
  <c r="B6577"/>
  <c r="A6578"/>
  <c r="B6578"/>
  <c r="A6579"/>
  <c r="B6579"/>
  <c r="A6580"/>
  <c r="B6580"/>
  <c r="A6581"/>
  <c r="B6581"/>
  <c r="A6582"/>
  <c r="B6582"/>
  <c r="A6583"/>
  <c r="B6583"/>
  <c r="A6584"/>
  <c r="B6584"/>
  <c r="A6585"/>
  <c r="B6585"/>
  <c r="A6586"/>
  <c r="B6586"/>
  <c r="A6587"/>
  <c r="B6587"/>
  <c r="A6588"/>
  <c r="B6588"/>
  <c r="A6589"/>
  <c r="B6589"/>
  <c r="A6590"/>
  <c r="B6590"/>
  <c r="A6591"/>
  <c r="B6591"/>
  <c r="A6592"/>
  <c r="B6592"/>
  <c r="A6593"/>
  <c r="B6593"/>
  <c r="A6594"/>
  <c r="B6594"/>
  <c r="A6595"/>
  <c r="B6595"/>
  <c r="A6596"/>
  <c r="B6596"/>
  <c r="A6597"/>
  <c r="B6597"/>
  <c r="A6598"/>
  <c r="B6598"/>
  <c r="A6599"/>
  <c r="B6599"/>
  <c r="A6600"/>
  <c r="B6600"/>
  <c r="A6601"/>
  <c r="B6601"/>
  <c r="A6602"/>
  <c r="B6602"/>
  <c r="A6603"/>
  <c r="B6603"/>
  <c r="A6604"/>
  <c r="B6604"/>
  <c r="A6605"/>
  <c r="B6605"/>
  <c r="A6606"/>
  <c r="B6606"/>
  <c r="A6607"/>
  <c r="B6607"/>
  <c r="A6608"/>
  <c r="B6608"/>
  <c r="A6609"/>
  <c r="B6609"/>
  <c r="A6610"/>
  <c r="B6610"/>
  <c r="A6611"/>
  <c r="B6611"/>
  <c r="A6612"/>
  <c r="B6612"/>
  <c r="A6613"/>
  <c r="B6613"/>
  <c r="A6614"/>
  <c r="B6614"/>
  <c r="A6615"/>
  <c r="B6615"/>
  <c r="A6616"/>
  <c r="B6616"/>
  <c r="A6617"/>
  <c r="B6617"/>
  <c r="A6618"/>
  <c r="B6618"/>
  <c r="A6619"/>
  <c r="B6619"/>
  <c r="A6620"/>
  <c r="B6620"/>
  <c r="A6621"/>
  <c r="B6621"/>
  <c r="A6622"/>
  <c r="B6622"/>
  <c r="A6623"/>
  <c r="B6623"/>
  <c r="A6624"/>
  <c r="B6624"/>
  <c r="A6625"/>
  <c r="B6625"/>
  <c r="A6626"/>
  <c r="B6626"/>
  <c r="A6627"/>
  <c r="B6627"/>
  <c r="A6628"/>
  <c r="B6628"/>
  <c r="A6629"/>
  <c r="B6629"/>
  <c r="A6630"/>
  <c r="B6630"/>
  <c r="A6631"/>
  <c r="B6631"/>
  <c r="A6632"/>
  <c r="B6632"/>
  <c r="A6633"/>
  <c r="B6633"/>
  <c r="A6634"/>
  <c r="B6634"/>
  <c r="A6635"/>
  <c r="B6635"/>
  <c r="A6636"/>
  <c r="B6636"/>
  <c r="A6637"/>
  <c r="B6637"/>
  <c r="A6638"/>
  <c r="B6638"/>
  <c r="A6639"/>
  <c r="B6639"/>
  <c r="A6640"/>
  <c r="B6640"/>
  <c r="A6641"/>
  <c r="B6641"/>
  <c r="A6642"/>
  <c r="B6642"/>
  <c r="A6643"/>
  <c r="B6643"/>
  <c r="A6644"/>
  <c r="B6644"/>
  <c r="A6645"/>
  <c r="B6645"/>
  <c r="A6646"/>
  <c r="B6646"/>
  <c r="A6647"/>
  <c r="B6647"/>
  <c r="A6648"/>
  <c r="B6648"/>
  <c r="A6649"/>
  <c r="B6649"/>
  <c r="A6650"/>
  <c r="B6650"/>
  <c r="A6651"/>
  <c r="B6651"/>
  <c r="A6652"/>
  <c r="B6652"/>
  <c r="A6653"/>
  <c r="B6653"/>
  <c r="A6654"/>
  <c r="B6654"/>
  <c r="A6655"/>
  <c r="B6655"/>
  <c r="A6656"/>
  <c r="B6656"/>
  <c r="A6657"/>
  <c r="B6657"/>
  <c r="A6658"/>
  <c r="B6658"/>
  <c r="A6659"/>
  <c r="B6659"/>
  <c r="A6660"/>
  <c r="B6660"/>
  <c r="A6661"/>
  <c r="B6661"/>
  <c r="A6662"/>
  <c r="B6662"/>
  <c r="A6663"/>
  <c r="B6663"/>
  <c r="A6664"/>
  <c r="B6664"/>
  <c r="A6665"/>
  <c r="B6665"/>
  <c r="A6666"/>
  <c r="B6666"/>
  <c r="A6667"/>
  <c r="B6667"/>
  <c r="A6668"/>
  <c r="B6668"/>
  <c r="A6669"/>
  <c r="B6669"/>
  <c r="A6670"/>
  <c r="B6670"/>
  <c r="A6671"/>
  <c r="B6671"/>
  <c r="A6672"/>
  <c r="B6672"/>
  <c r="A6673"/>
  <c r="B6673"/>
  <c r="A6674"/>
  <c r="B6674"/>
  <c r="A6675"/>
  <c r="B6675"/>
  <c r="A6676"/>
  <c r="B6676"/>
  <c r="A6677"/>
  <c r="B6677"/>
  <c r="A6678"/>
  <c r="B6678"/>
  <c r="A6679"/>
  <c r="B6679"/>
  <c r="A6680"/>
  <c r="B6680"/>
  <c r="A6681"/>
  <c r="B6681"/>
  <c r="A6682"/>
  <c r="B6682"/>
  <c r="A6683"/>
  <c r="B6683"/>
  <c r="A6684"/>
  <c r="B6684"/>
  <c r="A6685"/>
  <c r="B6685"/>
  <c r="A6686"/>
  <c r="B6686"/>
  <c r="A6687"/>
  <c r="B6687"/>
  <c r="A6688"/>
  <c r="B6688"/>
  <c r="A6689"/>
  <c r="B6689"/>
  <c r="A6690"/>
  <c r="B6690"/>
  <c r="A6691"/>
  <c r="B6691"/>
  <c r="A6692"/>
  <c r="B6692"/>
  <c r="A6693"/>
  <c r="B6693"/>
  <c r="A6694"/>
  <c r="B6694"/>
  <c r="A6695"/>
  <c r="B6695"/>
  <c r="A6696"/>
  <c r="B6696"/>
  <c r="A6697"/>
  <c r="B6697"/>
  <c r="A6698"/>
  <c r="B6698"/>
  <c r="A6699"/>
  <c r="B6699"/>
  <c r="A6700"/>
  <c r="B6700"/>
  <c r="A6701"/>
  <c r="B6701"/>
  <c r="A6702"/>
  <c r="B6702"/>
  <c r="A6703"/>
  <c r="B6703"/>
  <c r="A6704"/>
  <c r="B6704"/>
  <c r="A6705"/>
  <c r="B6705"/>
  <c r="A6706"/>
  <c r="B6706"/>
  <c r="A6707"/>
  <c r="B6707"/>
  <c r="A6708"/>
  <c r="B6708"/>
  <c r="A6709"/>
  <c r="B6709"/>
  <c r="A6710"/>
  <c r="B6710"/>
  <c r="A6711"/>
  <c r="B6711"/>
  <c r="A6712"/>
  <c r="B6712"/>
  <c r="A6713"/>
  <c r="B6713"/>
  <c r="A6714"/>
  <c r="B6714"/>
  <c r="A6715"/>
  <c r="B6715"/>
  <c r="A6716"/>
  <c r="B6716"/>
  <c r="A6717"/>
  <c r="B6717"/>
  <c r="A6718"/>
  <c r="B6718"/>
  <c r="A6719"/>
  <c r="B6719"/>
  <c r="A6720"/>
  <c r="B6720"/>
  <c r="A6721"/>
  <c r="B6721"/>
  <c r="A6722"/>
  <c r="B6722"/>
  <c r="A6723"/>
  <c r="B6723"/>
  <c r="A6724"/>
  <c r="B6724"/>
  <c r="A6725"/>
  <c r="B6725"/>
  <c r="A6726"/>
  <c r="B6726"/>
  <c r="A6727"/>
  <c r="B6727"/>
  <c r="A6728"/>
  <c r="B6728"/>
  <c r="A6729"/>
  <c r="B6729"/>
  <c r="A6730"/>
  <c r="B6730"/>
  <c r="A6731"/>
  <c r="B6731"/>
  <c r="A6732"/>
  <c r="B6732"/>
  <c r="A6733"/>
  <c r="B6733"/>
  <c r="A6734"/>
  <c r="B6734"/>
  <c r="A6735"/>
  <c r="B6735"/>
  <c r="A6736"/>
  <c r="B6736"/>
  <c r="A6737"/>
  <c r="B6737"/>
  <c r="A6738"/>
  <c r="B6738"/>
  <c r="A6739"/>
  <c r="B6739"/>
  <c r="A6740"/>
  <c r="B6740"/>
  <c r="A6741"/>
  <c r="B6741"/>
  <c r="A6742"/>
  <c r="B6742"/>
  <c r="A6743"/>
  <c r="B6743"/>
  <c r="A6744"/>
  <c r="B6744"/>
  <c r="A6745"/>
  <c r="B6745"/>
  <c r="A6746"/>
  <c r="B6746"/>
  <c r="A6747"/>
  <c r="B6747"/>
  <c r="A6748"/>
  <c r="B6748"/>
  <c r="A6749"/>
  <c r="B6749"/>
  <c r="A6750"/>
  <c r="B6750"/>
  <c r="A6751"/>
  <c r="B6751"/>
  <c r="A6752"/>
  <c r="B6752"/>
  <c r="A6753"/>
  <c r="B6753"/>
  <c r="A6754"/>
  <c r="B6754"/>
  <c r="A6755"/>
  <c r="B6755"/>
  <c r="A6756"/>
  <c r="B6756"/>
  <c r="A6757"/>
  <c r="B6757"/>
  <c r="A6758"/>
  <c r="B6758"/>
  <c r="A6759"/>
  <c r="B6759"/>
  <c r="A6760"/>
  <c r="B6760"/>
  <c r="A6761"/>
  <c r="B6761"/>
  <c r="A6762"/>
  <c r="B6762"/>
  <c r="A6763"/>
  <c r="B6763"/>
  <c r="A6764"/>
  <c r="B6764"/>
  <c r="A6765"/>
  <c r="B6765"/>
  <c r="A6766"/>
  <c r="B6766"/>
  <c r="A6767"/>
  <c r="B6767"/>
  <c r="A6768"/>
  <c r="B6768"/>
  <c r="A6769"/>
  <c r="B6769"/>
  <c r="A6770"/>
  <c r="B6770"/>
  <c r="A6771"/>
  <c r="B6771"/>
  <c r="A6772"/>
  <c r="B6772"/>
  <c r="A6773"/>
  <c r="B6773"/>
  <c r="A6774"/>
  <c r="B6774"/>
  <c r="A6775"/>
  <c r="B6775"/>
  <c r="A6776"/>
  <c r="B6776"/>
  <c r="A6777"/>
  <c r="B6777"/>
  <c r="A6778"/>
  <c r="B6778"/>
  <c r="A6779"/>
  <c r="B6779"/>
  <c r="A6780"/>
  <c r="B6780"/>
  <c r="A6781"/>
  <c r="B6781"/>
  <c r="A6782"/>
  <c r="B6782"/>
  <c r="A6783"/>
  <c r="B6783"/>
  <c r="A6784"/>
  <c r="B6784"/>
  <c r="A6785"/>
  <c r="B6785"/>
  <c r="A6786"/>
  <c r="B6786"/>
  <c r="A6787"/>
  <c r="B6787"/>
  <c r="A6788"/>
  <c r="B6788"/>
  <c r="A6789"/>
  <c r="B6789"/>
  <c r="A6790"/>
  <c r="B6790"/>
  <c r="A6791"/>
  <c r="B6791"/>
  <c r="A6792"/>
  <c r="B6792"/>
  <c r="A6793"/>
  <c r="B6793"/>
  <c r="A6794"/>
  <c r="B6794"/>
  <c r="A6795"/>
  <c r="B6795"/>
  <c r="A6796"/>
  <c r="B6796"/>
  <c r="A6797"/>
  <c r="B6797"/>
  <c r="A6798"/>
  <c r="B6798"/>
  <c r="A6799"/>
  <c r="B6799"/>
  <c r="A6800"/>
  <c r="B6800"/>
  <c r="A6801"/>
  <c r="B6801"/>
  <c r="A6802"/>
  <c r="B6802"/>
  <c r="A6803"/>
  <c r="B6803"/>
  <c r="A6804"/>
  <c r="B6804"/>
  <c r="A6805"/>
  <c r="B6805"/>
  <c r="A6806"/>
  <c r="B6806"/>
  <c r="A6807"/>
  <c r="B6807"/>
  <c r="A6808"/>
  <c r="B6808"/>
  <c r="A6809"/>
  <c r="B6809"/>
  <c r="A6810"/>
  <c r="B6810"/>
  <c r="A6811"/>
  <c r="B6811"/>
  <c r="A6812"/>
  <c r="B6812"/>
  <c r="A6813"/>
  <c r="B6813"/>
  <c r="A6814"/>
  <c r="B6814"/>
  <c r="A6815"/>
  <c r="B6815"/>
  <c r="A6816"/>
  <c r="B6816"/>
  <c r="A6817"/>
  <c r="B6817"/>
  <c r="A6818"/>
  <c r="B6818"/>
  <c r="A6819"/>
  <c r="B6819"/>
  <c r="A6820"/>
  <c r="B6820"/>
  <c r="A6821"/>
  <c r="B6821"/>
  <c r="A6822"/>
  <c r="B6822"/>
  <c r="A6823"/>
  <c r="B6823"/>
  <c r="A6824"/>
  <c r="B6824"/>
  <c r="A6825"/>
  <c r="B6825"/>
  <c r="A6826"/>
  <c r="B6826"/>
  <c r="A6827"/>
  <c r="B6827"/>
  <c r="A6828"/>
  <c r="B6828"/>
  <c r="A6829"/>
  <c r="B6829"/>
  <c r="A6830"/>
  <c r="B6830"/>
  <c r="A6831"/>
  <c r="B6831"/>
  <c r="A6832"/>
  <c r="B6832"/>
  <c r="A6833"/>
  <c r="B6833"/>
  <c r="A6834"/>
  <c r="B6834"/>
  <c r="A6835"/>
  <c r="B6835"/>
  <c r="A6836"/>
  <c r="B6836"/>
  <c r="A6837"/>
  <c r="B6837"/>
  <c r="A6838"/>
  <c r="B6838"/>
  <c r="A6839"/>
  <c r="B6839"/>
  <c r="A6840"/>
  <c r="B6840"/>
  <c r="A6841"/>
  <c r="B6841"/>
  <c r="A6842"/>
  <c r="B6842"/>
  <c r="A6843"/>
  <c r="B6843"/>
  <c r="A6844"/>
  <c r="B6844"/>
  <c r="A6845"/>
  <c r="B6845"/>
  <c r="A6846"/>
  <c r="B6846"/>
  <c r="A6847"/>
  <c r="B6847"/>
  <c r="A6848"/>
  <c r="B6848"/>
  <c r="A6849"/>
  <c r="B6849"/>
  <c r="A6850"/>
  <c r="B6850"/>
  <c r="A6851"/>
  <c r="B6851"/>
  <c r="A6852"/>
  <c r="B6852"/>
  <c r="A6853"/>
  <c r="B6853"/>
  <c r="A6854"/>
  <c r="B6854"/>
  <c r="A6855"/>
  <c r="B6855"/>
  <c r="A6856"/>
  <c r="B6856"/>
  <c r="A6857"/>
  <c r="B6857"/>
  <c r="A6858"/>
  <c r="B6858"/>
  <c r="A6859"/>
  <c r="B6859"/>
  <c r="A6860"/>
  <c r="B6860"/>
  <c r="A6861"/>
  <c r="B6861"/>
  <c r="A6862"/>
  <c r="B6862"/>
  <c r="A6863"/>
  <c r="B6863"/>
  <c r="A6864"/>
  <c r="B6864"/>
  <c r="A6865"/>
  <c r="B6865"/>
  <c r="A6866"/>
  <c r="B6866"/>
  <c r="A6867"/>
  <c r="B6867"/>
  <c r="A6868"/>
  <c r="B6868"/>
  <c r="A6869"/>
  <c r="B6869"/>
  <c r="A6870"/>
  <c r="B6870"/>
  <c r="A6871"/>
  <c r="B6871"/>
  <c r="A6872"/>
  <c r="B6872"/>
  <c r="A6873"/>
  <c r="B6873"/>
  <c r="A6874"/>
  <c r="B6874"/>
  <c r="A6875"/>
  <c r="B6875"/>
  <c r="A6876"/>
  <c r="B6876"/>
  <c r="A6877"/>
  <c r="B6877"/>
  <c r="A6878"/>
  <c r="B6878"/>
  <c r="A6879"/>
  <c r="B6879"/>
  <c r="A6880"/>
  <c r="B6880"/>
  <c r="A6881"/>
  <c r="B6881"/>
  <c r="A6882"/>
  <c r="B6882"/>
  <c r="A6883"/>
  <c r="B6883"/>
  <c r="A6884"/>
  <c r="B6884"/>
  <c r="A6885"/>
  <c r="B6885"/>
  <c r="A6886"/>
  <c r="B6886"/>
  <c r="A6887"/>
  <c r="B6887"/>
  <c r="A6888"/>
  <c r="B6888"/>
  <c r="A6889"/>
  <c r="B6889"/>
  <c r="A6890"/>
  <c r="B6890"/>
  <c r="A6891"/>
  <c r="B6891"/>
  <c r="A6892"/>
  <c r="B6892"/>
  <c r="A6893"/>
  <c r="B6893"/>
  <c r="A6894"/>
  <c r="B6894"/>
  <c r="A6895"/>
  <c r="B6895"/>
  <c r="A6896"/>
  <c r="B6896"/>
  <c r="A6897"/>
  <c r="B6897"/>
  <c r="A6898"/>
  <c r="B6898"/>
  <c r="A6899"/>
  <c r="B6899"/>
  <c r="A6900"/>
  <c r="B6900"/>
  <c r="A6901"/>
  <c r="B6901"/>
  <c r="A6902"/>
  <c r="B6902"/>
  <c r="A6903"/>
  <c r="B6903"/>
  <c r="A6904"/>
  <c r="B6904"/>
  <c r="A6905"/>
  <c r="B6905"/>
  <c r="A6906"/>
  <c r="B6906"/>
  <c r="A6907"/>
  <c r="B6907"/>
  <c r="A6908"/>
  <c r="B6908"/>
  <c r="A6909"/>
  <c r="B6909"/>
  <c r="A6910"/>
  <c r="B6910"/>
  <c r="A6911"/>
  <c r="B6911"/>
  <c r="A6912"/>
  <c r="B6912"/>
  <c r="A6913"/>
  <c r="B6913"/>
  <c r="A6914"/>
  <c r="B6914"/>
  <c r="A6915"/>
  <c r="B6915"/>
  <c r="A6916"/>
  <c r="B6916"/>
  <c r="A6917"/>
  <c r="B6917"/>
  <c r="A6918"/>
  <c r="B6918"/>
  <c r="A6919"/>
  <c r="B6919"/>
  <c r="A6920"/>
  <c r="B6920"/>
  <c r="A6921"/>
  <c r="B6921"/>
  <c r="A6922"/>
  <c r="B6922"/>
  <c r="A6923"/>
  <c r="B6923"/>
  <c r="A6924"/>
  <c r="B6924"/>
  <c r="A6925"/>
  <c r="B6925"/>
  <c r="A6926"/>
  <c r="B6926"/>
  <c r="A6927"/>
  <c r="B6927"/>
  <c r="A6928"/>
  <c r="B6928"/>
  <c r="A6929"/>
  <c r="B6929"/>
  <c r="A6930"/>
  <c r="B6930"/>
  <c r="A6931"/>
  <c r="B6931"/>
  <c r="A6932"/>
  <c r="B6932"/>
  <c r="A6933"/>
  <c r="B6933"/>
  <c r="A6934"/>
  <c r="B6934"/>
  <c r="A6935"/>
  <c r="B6935"/>
  <c r="A6936"/>
  <c r="B6936"/>
  <c r="A6937"/>
  <c r="B6937"/>
  <c r="A6938"/>
  <c r="B6938"/>
  <c r="A6939"/>
  <c r="B6939"/>
  <c r="A6940"/>
  <c r="B6940"/>
  <c r="A6941"/>
  <c r="B6941"/>
  <c r="A6942"/>
  <c r="B6942"/>
  <c r="A6943"/>
  <c r="B6943"/>
  <c r="A6944"/>
  <c r="B6944"/>
  <c r="A6945"/>
  <c r="B6945"/>
  <c r="A6946"/>
  <c r="B6946"/>
  <c r="A6947"/>
  <c r="B6947"/>
  <c r="A6948"/>
  <c r="B6948"/>
  <c r="A6949"/>
  <c r="B6949"/>
  <c r="A6950"/>
  <c r="B6950"/>
  <c r="A6951"/>
  <c r="B6951"/>
  <c r="A6952"/>
  <c r="B6952"/>
  <c r="A6953"/>
  <c r="B6953"/>
  <c r="A6954"/>
  <c r="B6954"/>
  <c r="A6955"/>
  <c r="B6955"/>
  <c r="A6956"/>
  <c r="B6956"/>
  <c r="A6957"/>
  <c r="B6957"/>
  <c r="A6958"/>
  <c r="B6958"/>
  <c r="A6959"/>
  <c r="B6959"/>
  <c r="A6960"/>
  <c r="B6960"/>
  <c r="A6961"/>
  <c r="B6961"/>
  <c r="A6962"/>
  <c r="B6962"/>
  <c r="A6963"/>
  <c r="B6963"/>
  <c r="A6964"/>
  <c r="B6964"/>
  <c r="A6965"/>
  <c r="B6965"/>
  <c r="A6966"/>
  <c r="B6966"/>
  <c r="A6967"/>
  <c r="B6967"/>
  <c r="A6968"/>
  <c r="B6968"/>
  <c r="A6969"/>
  <c r="B6969"/>
  <c r="A6970"/>
  <c r="B6970"/>
  <c r="A6971"/>
  <c r="B6971"/>
  <c r="A6972"/>
  <c r="B6972"/>
  <c r="A6973"/>
  <c r="B6973"/>
  <c r="A6974"/>
  <c r="B6974"/>
  <c r="A6975"/>
  <c r="B6975"/>
  <c r="A6976"/>
  <c r="B6976"/>
  <c r="A6977"/>
  <c r="B6977"/>
  <c r="A6978"/>
  <c r="B6978"/>
  <c r="A6979"/>
  <c r="B6979"/>
  <c r="A6980"/>
  <c r="B6980"/>
  <c r="A6981"/>
  <c r="B6981"/>
  <c r="A6982"/>
  <c r="B6982"/>
  <c r="A6983"/>
  <c r="B6983"/>
  <c r="A6984"/>
  <c r="B6984"/>
  <c r="A6985"/>
  <c r="B6985"/>
  <c r="A6986"/>
  <c r="B6986"/>
  <c r="A6987"/>
  <c r="B6987"/>
  <c r="A6988"/>
  <c r="B6988"/>
  <c r="A6989"/>
  <c r="B6989"/>
  <c r="A6990"/>
  <c r="B6990"/>
  <c r="A6991"/>
  <c r="B6991"/>
  <c r="A6992"/>
  <c r="B6992"/>
  <c r="A6993"/>
  <c r="B6993"/>
  <c r="A6994"/>
  <c r="B6994"/>
  <c r="A6995"/>
  <c r="B6995"/>
  <c r="A6996"/>
  <c r="B6996"/>
  <c r="A6997"/>
  <c r="B6997"/>
  <c r="A6998"/>
  <c r="B6998"/>
  <c r="A6999"/>
  <c r="B6999"/>
  <c r="A7000"/>
  <c r="B7000"/>
  <c r="A7001"/>
  <c r="B7001"/>
  <c r="A7002"/>
  <c r="B7002"/>
  <c r="A7003"/>
  <c r="B7003"/>
  <c r="A7004"/>
  <c r="B7004"/>
  <c r="A7005"/>
  <c r="B7005"/>
  <c r="A7006"/>
  <c r="B7006"/>
  <c r="A7007"/>
  <c r="B7007"/>
  <c r="A7008"/>
  <c r="B7008"/>
  <c r="A7009"/>
  <c r="B7009"/>
  <c r="A7010"/>
  <c r="B7010"/>
  <c r="A7011"/>
  <c r="B7011"/>
  <c r="A7012"/>
  <c r="B7012"/>
  <c r="A7013"/>
  <c r="B7013"/>
  <c r="A7014"/>
  <c r="B7014"/>
  <c r="A7015"/>
  <c r="B7015"/>
  <c r="A7016"/>
  <c r="B7016"/>
  <c r="A7017"/>
  <c r="B7017"/>
  <c r="A7018"/>
  <c r="B7018"/>
  <c r="A7019"/>
  <c r="B7019"/>
  <c r="A7020"/>
  <c r="B7020"/>
  <c r="A7021"/>
  <c r="B7021"/>
  <c r="A7022"/>
  <c r="B7022"/>
  <c r="A7023"/>
  <c r="B7023"/>
  <c r="A7024"/>
  <c r="B7024"/>
  <c r="A7025"/>
  <c r="B7025"/>
  <c r="A7026"/>
  <c r="B7026"/>
  <c r="A7027"/>
  <c r="B7027"/>
  <c r="A7028"/>
  <c r="B7028"/>
  <c r="A7029"/>
  <c r="B7029"/>
  <c r="A7030"/>
  <c r="B7030"/>
  <c r="A7031"/>
  <c r="B7031"/>
  <c r="A7032"/>
  <c r="B7032"/>
  <c r="A7033"/>
  <c r="B7033"/>
  <c r="A7034"/>
  <c r="B7034"/>
  <c r="A7035"/>
  <c r="B7035"/>
  <c r="A7036"/>
  <c r="B7036"/>
  <c r="A7037"/>
  <c r="B7037"/>
  <c r="A7038"/>
  <c r="B7038"/>
  <c r="A7039"/>
  <c r="B7039"/>
  <c r="A7040"/>
  <c r="B7040"/>
  <c r="A7041"/>
  <c r="B7041"/>
  <c r="A7042"/>
  <c r="B7042"/>
  <c r="A7043"/>
  <c r="B7043"/>
  <c r="A7044"/>
  <c r="B7044"/>
  <c r="A7045"/>
  <c r="B7045"/>
  <c r="A7046"/>
  <c r="B7046"/>
  <c r="A7047"/>
  <c r="B7047"/>
  <c r="A7048"/>
  <c r="B7048"/>
  <c r="A7049"/>
  <c r="B7049"/>
  <c r="A7050"/>
  <c r="B7050"/>
  <c r="A7051"/>
  <c r="B7051"/>
  <c r="A7052"/>
  <c r="B7052"/>
  <c r="A7053"/>
  <c r="B7053"/>
  <c r="A7054"/>
  <c r="B7054"/>
  <c r="A7055"/>
  <c r="B7055"/>
  <c r="A7056"/>
  <c r="B7056"/>
  <c r="A7057"/>
  <c r="B7057"/>
  <c r="A7058"/>
  <c r="B7058"/>
  <c r="A7059"/>
  <c r="B7059"/>
  <c r="A7060"/>
  <c r="B7060"/>
  <c r="A7061"/>
  <c r="B7061"/>
  <c r="A7062"/>
  <c r="B7062"/>
  <c r="A7063"/>
  <c r="B7063"/>
  <c r="A7064"/>
  <c r="B7064"/>
  <c r="A7065"/>
  <c r="B7065"/>
  <c r="A7066"/>
  <c r="B7066"/>
  <c r="A7067"/>
  <c r="B7067"/>
  <c r="A7068"/>
  <c r="B7068"/>
  <c r="A7069"/>
  <c r="B7069"/>
  <c r="A7070"/>
  <c r="B7070"/>
  <c r="A7071"/>
  <c r="B7071"/>
  <c r="A7072"/>
  <c r="B7072"/>
  <c r="A7073"/>
  <c r="B7073"/>
  <c r="A7074"/>
  <c r="B7074"/>
  <c r="A7075"/>
  <c r="B7075"/>
  <c r="A7076"/>
  <c r="B7076"/>
  <c r="A7077"/>
  <c r="B7077"/>
  <c r="A7078"/>
  <c r="B7078"/>
  <c r="A7079"/>
  <c r="B7079"/>
  <c r="A7080"/>
  <c r="B7080"/>
  <c r="A7081"/>
  <c r="B7081"/>
  <c r="A7082"/>
  <c r="B7082"/>
  <c r="A7083"/>
  <c r="B7083"/>
  <c r="A7084"/>
  <c r="B7084"/>
  <c r="A7085"/>
  <c r="B7085"/>
  <c r="A7086"/>
  <c r="B7086"/>
  <c r="A7087"/>
  <c r="B7087"/>
  <c r="A7088"/>
  <c r="B7088"/>
  <c r="A7089"/>
  <c r="B7089"/>
  <c r="A7090"/>
  <c r="B7090"/>
  <c r="A7091"/>
  <c r="B7091"/>
  <c r="A7092"/>
  <c r="B7092"/>
  <c r="A7093"/>
  <c r="B7093"/>
  <c r="A7094"/>
  <c r="B7094"/>
  <c r="A7095"/>
  <c r="B7095"/>
  <c r="A7096"/>
  <c r="B7096"/>
  <c r="A7097"/>
  <c r="B7097"/>
  <c r="A7098"/>
  <c r="B7098"/>
  <c r="A7099"/>
  <c r="B7099"/>
  <c r="A7100"/>
  <c r="B7100"/>
  <c r="A7101"/>
  <c r="B7101"/>
  <c r="A7102"/>
  <c r="B7102"/>
  <c r="A7103"/>
  <c r="B7103"/>
  <c r="A7104"/>
  <c r="B7104"/>
  <c r="A7105"/>
  <c r="B7105"/>
  <c r="A7106"/>
  <c r="B7106"/>
  <c r="A7107"/>
  <c r="B7107"/>
  <c r="A7108"/>
  <c r="B7108"/>
  <c r="A7109"/>
  <c r="B7109"/>
  <c r="A7110"/>
  <c r="B7110"/>
  <c r="A7111"/>
  <c r="B7111"/>
  <c r="A7112"/>
  <c r="B7112"/>
  <c r="A7113"/>
  <c r="B7113"/>
  <c r="A7114"/>
  <c r="B7114"/>
  <c r="A7115"/>
  <c r="B7115"/>
  <c r="A7116"/>
  <c r="B7116"/>
  <c r="A7117"/>
  <c r="B7117"/>
  <c r="A7118"/>
  <c r="B7118"/>
  <c r="A7119"/>
  <c r="B7119"/>
  <c r="A7120"/>
  <c r="B7120"/>
  <c r="A7121"/>
  <c r="B7121"/>
  <c r="A7122"/>
  <c r="B7122"/>
  <c r="A7123"/>
  <c r="B7123"/>
  <c r="A7124"/>
  <c r="B7124"/>
  <c r="A7125"/>
  <c r="B7125"/>
  <c r="A7126"/>
  <c r="B7126"/>
  <c r="A7127"/>
  <c r="B7127"/>
  <c r="A7128"/>
  <c r="B7128"/>
  <c r="A7129"/>
  <c r="B7129"/>
  <c r="A7130"/>
  <c r="B7130"/>
  <c r="A7131"/>
  <c r="B7131"/>
  <c r="A7132"/>
  <c r="B7132"/>
  <c r="A7133"/>
  <c r="B7133"/>
  <c r="A7134"/>
  <c r="B7134"/>
  <c r="A7135"/>
  <c r="B7135"/>
  <c r="A7136"/>
  <c r="B7136"/>
  <c r="A7137"/>
  <c r="B7137"/>
  <c r="A7138"/>
  <c r="B7138"/>
  <c r="A7139"/>
  <c r="B7139"/>
  <c r="A7140"/>
  <c r="B7140"/>
  <c r="A7141"/>
  <c r="B7141"/>
  <c r="A7142"/>
  <c r="B7142"/>
  <c r="A7143"/>
  <c r="B7143"/>
  <c r="A7144"/>
  <c r="B7144"/>
  <c r="A7145"/>
  <c r="B7145"/>
  <c r="A7146"/>
  <c r="B7146"/>
  <c r="A7147"/>
  <c r="B7147"/>
  <c r="A7148"/>
  <c r="B7148"/>
  <c r="A7149"/>
  <c r="B7149"/>
  <c r="A7150"/>
  <c r="B7150"/>
  <c r="A7151"/>
  <c r="B7151"/>
  <c r="A7152"/>
  <c r="B7152"/>
  <c r="A7153"/>
  <c r="B7153"/>
  <c r="A7154"/>
  <c r="B7154"/>
  <c r="A7155"/>
  <c r="B7155"/>
  <c r="A7156"/>
  <c r="B7156"/>
  <c r="A7157"/>
  <c r="B7157"/>
  <c r="A7158"/>
  <c r="B7158"/>
  <c r="A7159"/>
  <c r="B7159"/>
  <c r="A7160"/>
  <c r="B7160"/>
  <c r="A7161"/>
  <c r="B7161"/>
  <c r="A7162"/>
  <c r="B7162"/>
  <c r="A7163"/>
  <c r="B7163"/>
  <c r="A7164"/>
  <c r="B7164"/>
  <c r="A7165"/>
  <c r="B7165"/>
  <c r="A7166"/>
  <c r="B7166"/>
  <c r="A7167"/>
  <c r="B7167"/>
  <c r="A7168"/>
  <c r="B7168"/>
  <c r="A7169"/>
  <c r="B7169"/>
  <c r="A7170"/>
  <c r="B7170"/>
  <c r="A7171"/>
  <c r="B7171"/>
  <c r="A7172"/>
  <c r="B7172"/>
  <c r="A7173"/>
  <c r="B7173"/>
  <c r="A7174"/>
  <c r="B7174"/>
  <c r="A7175"/>
  <c r="B7175"/>
  <c r="A7176"/>
  <c r="B7176"/>
  <c r="A7177"/>
  <c r="B7177"/>
  <c r="A7178"/>
  <c r="B7178"/>
  <c r="A7179"/>
  <c r="B7179"/>
  <c r="A7180"/>
  <c r="B7180"/>
  <c r="A7181"/>
  <c r="B7181"/>
  <c r="A7182"/>
  <c r="B7182"/>
  <c r="A7183"/>
  <c r="B7183"/>
  <c r="A7184"/>
  <c r="B7184"/>
  <c r="A7185"/>
  <c r="B7185"/>
  <c r="A7186"/>
  <c r="B7186"/>
  <c r="A7187"/>
  <c r="B7187"/>
  <c r="A7188"/>
  <c r="B7188"/>
  <c r="A7189"/>
  <c r="B7189"/>
  <c r="A7190"/>
  <c r="B7190"/>
  <c r="A7191"/>
  <c r="B7191"/>
  <c r="A7192"/>
  <c r="B7192"/>
  <c r="A7193"/>
  <c r="B7193"/>
  <c r="A7194"/>
  <c r="B7194"/>
  <c r="A7195"/>
  <c r="B7195"/>
  <c r="A7196"/>
  <c r="B7196"/>
  <c r="A7197"/>
  <c r="B7197"/>
  <c r="A7198"/>
  <c r="B7198"/>
  <c r="A7199"/>
  <c r="B7199"/>
  <c r="A7200"/>
  <c r="B7200"/>
  <c r="A7201"/>
  <c r="B7201"/>
  <c r="A7202"/>
  <c r="B7202"/>
  <c r="A7203"/>
  <c r="B7203"/>
  <c r="A7204"/>
  <c r="B7204"/>
  <c r="A7205"/>
  <c r="B7205"/>
  <c r="A7206"/>
  <c r="B7206"/>
  <c r="A7207"/>
  <c r="B7207"/>
  <c r="A7208"/>
  <c r="B7208"/>
  <c r="A7209"/>
  <c r="B7209"/>
  <c r="A7210"/>
  <c r="B7210"/>
  <c r="A7211"/>
  <c r="B7211"/>
  <c r="A7212"/>
  <c r="B7212"/>
  <c r="A7213"/>
  <c r="B7213"/>
  <c r="A7214"/>
  <c r="B7214"/>
  <c r="A7215"/>
  <c r="B7215"/>
  <c r="A7216"/>
  <c r="B7216"/>
  <c r="A7217"/>
  <c r="B7217"/>
  <c r="A7218"/>
  <c r="B7218"/>
  <c r="A7219"/>
  <c r="B7219"/>
  <c r="A7220"/>
  <c r="B7220"/>
  <c r="A7221"/>
  <c r="B7221"/>
  <c r="A7222"/>
  <c r="B7222"/>
  <c r="A7223"/>
  <c r="B7223"/>
  <c r="A7224"/>
  <c r="B7224"/>
  <c r="A7225"/>
  <c r="B7225"/>
  <c r="A7226"/>
  <c r="B7226"/>
  <c r="A7227"/>
  <c r="B7227"/>
  <c r="A7228"/>
  <c r="B7228"/>
  <c r="A7229"/>
  <c r="B7229"/>
  <c r="A7230"/>
  <c r="B7230"/>
  <c r="A7231"/>
  <c r="B7231"/>
  <c r="A7232"/>
  <c r="B7232"/>
  <c r="A7233"/>
  <c r="B7233"/>
  <c r="A7234"/>
  <c r="B7234"/>
  <c r="A7235"/>
  <c r="B7235"/>
  <c r="A7236"/>
  <c r="B7236"/>
  <c r="A7237"/>
  <c r="B7237"/>
  <c r="A7238"/>
  <c r="B7238"/>
  <c r="A7239"/>
  <c r="B7239"/>
  <c r="A7240"/>
  <c r="B7240"/>
  <c r="A7241"/>
  <c r="B7241"/>
  <c r="A7242"/>
  <c r="B7242"/>
  <c r="A7243"/>
  <c r="B7243"/>
  <c r="A7244"/>
  <c r="B7244"/>
  <c r="A7245"/>
  <c r="B7245"/>
  <c r="A7246"/>
  <c r="B7246"/>
  <c r="A7247"/>
  <c r="B7247"/>
  <c r="A7248"/>
  <c r="B7248"/>
  <c r="A7249"/>
  <c r="B7249"/>
  <c r="A7250"/>
  <c r="B7250"/>
  <c r="A7251"/>
  <c r="B7251"/>
  <c r="A7252"/>
  <c r="B7252"/>
  <c r="A7253"/>
  <c r="B7253"/>
  <c r="A7254"/>
  <c r="B7254"/>
  <c r="A7255"/>
  <c r="B7255"/>
  <c r="A7256"/>
  <c r="B7256"/>
  <c r="A7257"/>
  <c r="B7257"/>
  <c r="A7258"/>
  <c r="B7258"/>
  <c r="A7259"/>
  <c r="B7259"/>
  <c r="A7260"/>
  <c r="B7260"/>
  <c r="A7261"/>
  <c r="B7261"/>
  <c r="A7262"/>
  <c r="B7262"/>
  <c r="A7263"/>
  <c r="B7263"/>
  <c r="A7264"/>
  <c r="B7264"/>
  <c r="A7265"/>
  <c r="B7265"/>
  <c r="A7266"/>
  <c r="B7266"/>
  <c r="A7267"/>
  <c r="B7267"/>
  <c r="A7268"/>
  <c r="B7268"/>
  <c r="A7269"/>
  <c r="B7269"/>
  <c r="A7270"/>
  <c r="B7270"/>
  <c r="A7271"/>
  <c r="B7271"/>
  <c r="A7272"/>
  <c r="B7272"/>
  <c r="A7273"/>
  <c r="B7273"/>
  <c r="A7274"/>
  <c r="B7274"/>
  <c r="A7275"/>
  <c r="B7275"/>
  <c r="A7276"/>
  <c r="B7276"/>
  <c r="A7277"/>
  <c r="B7277"/>
  <c r="A7278"/>
  <c r="B7278"/>
  <c r="A7279"/>
  <c r="B7279"/>
  <c r="A7280"/>
  <c r="B7280"/>
  <c r="A7281"/>
  <c r="B7281"/>
  <c r="A7282"/>
  <c r="B7282"/>
  <c r="A7283"/>
  <c r="B7283"/>
  <c r="A7284"/>
  <c r="B7284"/>
  <c r="A7285"/>
  <c r="B7285"/>
  <c r="A7286"/>
  <c r="B7286"/>
  <c r="A7287"/>
  <c r="B7287"/>
  <c r="A7288"/>
  <c r="B7288"/>
  <c r="A7289"/>
  <c r="B7289"/>
  <c r="A7290"/>
  <c r="B7290"/>
  <c r="A7291"/>
  <c r="B7291"/>
  <c r="A7292"/>
  <c r="B7292"/>
  <c r="A7293"/>
  <c r="B7293"/>
  <c r="A7294"/>
  <c r="B7294"/>
  <c r="A7295"/>
  <c r="B7295"/>
  <c r="A7296"/>
  <c r="B7296"/>
  <c r="A7297"/>
  <c r="B7297"/>
  <c r="A7298"/>
  <c r="B7298"/>
  <c r="A7299"/>
  <c r="B7299"/>
  <c r="A7300"/>
  <c r="B7300"/>
  <c r="A7301"/>
  <c r="B7301"/>
  <c r="A7302"/>
  <c r="B7302"/>
  <c r="A7303"/>
  <c r="B7303"/>
  <c r="A7304"/>
  <c r="B7304"/>
  <c r="A7305"/>
  <c r="B7305"/>
  <c r="A7306"/>
  <c r="B7306"/>
  <c r="A7307"/>
  <c r="B7307"/>
  <c r="A7308"/>
  <c r="B7308"/>
  <c r="A7309"/>
  <c r="B7309"/>
  <c r="A7310"/>
  <c r="B7310"/>
  <c r="A7311"/>
  <c r="B7311"/>
  <c r="A7312"/>
  <c r="B7312"/>
  <c r="A7313"/>
  <c r="B7313"/>
  <c r="A7314"/>
  <c r="B7314"/>
  <c r="A7315"/>
  <c r="B7315"/>
  <c r="A7316"/>
  <c r="B7316"/>
  <c r="A7317"/>
  <c r="B7317"/>
  <c r="A7318"/>
  <c r="B7318"/>
  <c r="A7319"/>
  <c r="B7319"/>
  <c r="A7320"/>
  <c r="B7320"/>
  <c r="A7321"/>
  <c r="B7321"/>
  <c r="A7322"/>
  <c r="B7322"/>
  <c r="A7323"/>
  <c r="B7323"/>
  <c r="A7324"/>
  <c r="B7324"/>
  <c r="A7325"/>
  <c r="B7325"/>
  <c r="A7326"/>
  <c r="B7326"/>
  <c r="A7327"/>
  <c r="B7327"/>
  <c r="A7328"/>
  <c r="B7328"/>
  <c r="A7329"/>
  <c r="B7329"/>
  <c r="A7330"/>
  <c r="B7330"/>
  <c r="A7331"/>
  <c r="B7331"/>
  <c r="A7332"/>
  <c r="B7332"/>
  <c r="A7333"/>
  <c r="B7333"/>
  <c r="A7334"/>
  <c r="B7334"/>
  <c r="A7335"/>
  <c r="B7335"/>
  <c r="A7336"/>
  <c r="B7336"/>
  <c r="A7337"/>
  <c r="B7337"/>
  <c r="A7338"/>
  <c r="B7338"/>
  <c r="A7339"/>
  <c r="B7339"/>
  <c r="A7340"/>
  <c r="B7340"/>
  <c r="A7341"/>
  <c r="B7341"/>
  <c r="A7342"/>
  <c r="B7342"/>
  <c r="A7343"/>
  <c r="B7343"/>
  <c r="A7344"/>
  <c r="B7344"/>
  <c r="A7345"/>
  <c r="B7345"/>
  <c r="A7346"/>
  <c r="B7346"/>
  <c r="A7347"/>
  <c r="B7347"/>
  <c r="A7348"/>
  <c r="B7348"/>
  <c r="A7349"/>
  <c r="B7349"/>
  <c r="A7350"/>
  <c r="B7350"/>
  <c r="A7351"/>
  <c r="B7351"/>
  <c r="A7352"/>
  <c r="B7352"/>
  <c r="A7353"/>
  <c r="B7353"/>
  <c r="A7354"/>
  <c r="B7354"/>
  <c r="A7355"/>
  <c r="B7355"/>
  <c r="A7356"/>
  <c r="B7356"/>
  <c r="A7357"/>
  <c r="B7357"/>
  <c r="A7358"/>
  <c r="B7358"/>
  <c r="A7359"/>
  <c r="B7359"/>
  <c r="A7360"/>
  <c r="B7360"/>
  <c r="A7361"/>
  <c r="B7361"/>
  <c r="A7362"/>
  <c r="B7362"/>
  <c r="A7363"/>
  <c r="B7363"/>
  <c r="A7364"/>
  <c r="B7364"/>
  <c r="A7365"/>
  <c r="B7365"/>
  <c r="A7366"/>
  <c r="B7366"/>
  <c r="A7367"/>
  <c r="B7367"/>
  <c r="A7368"/>
  <c r="B7368"/>
  <c r="A7369"/>
  <c r="B7369"/>
  <c r="A7370"/>
  <c r="B7370"/>
  <c r="A7371"/>
  <c r="B7371"/>
  <c r="A7372"/>
  <c r="B7372"/>
  <c r="A7373"/>
  <c r="B7373"/>
  <c r="A7374"/>
  <c r="B7374"/>
  <c r="A7375"/>
  <c r="B7375"/>
  <c r="A7376"/>
  <c r="B7376"/>
  <c r="A7377"/>
  <c r="B7377"/>
  <c r="A7378"/>
  <c r="B7378"/>
  <c r="A7379"/>
  <c r="B7379"/>
  <c r="A7380"/>
  <c r="B7380"/>
  <c r="A7381"/>
  <c r="B7381"/>
  <c r="A7382"/>
  <c r="B7382"/>
  <c r="A7383"/>
  <c r="B7383"/>
  <c r="A7384"/>
  <c r="B7384"/>
  <c r="A7385"/>
  <c r="B7385"/>
  <c r="A7386"/>
  <c r="B7386"/>
  <c r="A7387"/>
  <c r="B7387"/>
  <c r="A7388"/>
  <c r="B7388"/>
  <c r="A7389"/>
  <c r="B7389"/>
  <c r="A7390"/>
  <c r="B7390"/>
  <c r="A7391"/>
  <c r="B7391"/>
  <c r="A7392"/>
  <c r="B7392"/>
  <c r="A7393"/>
  <c r="B7393"/>
  <c r="A7394"/>
  <c r="B7394"/>
  <c r="A7395"/>
  <c r="B7395"/>
  <c r="A7396"/>
  <c r="B7396"/>
  <c r="A7397"/>
  <c r="B7397"/>
  <c r="A7398"/>
  <c r="B7398"/>
  <c r="A7399"/>
  <c r="B7399"/>
  <c r="A7400"/>
  <c r="B7400"/>
  <c r="A7401"/>
  <c r="B7401"/>
  <c r="A7402"/>
  <c r="B7402"/>
  <c r="A7403"/>
  <c r="B7403"/>
  <c r="A7404"/>
  <c r="B7404"/>
  <c r="A7405"/>
  <c r="B7405"/>
  <c r="A7406"/>
  <c r="B7406"/>
  <c r="A7407"/>
  <c r="B7407"/>
  <c r="A7408"/>
  <c r="B7408"/>
  <c r="A7409"/>
  <c r="B7409"/>
  <c r="A7410"/>
  <c r="B7410"/>
  <c r="A7411"/>
  <c r="B7411"/>
  <c r="A7412"/>
  <c r="B7412"/>
  <c r="A7413"/>
  <c r="B7413"/>
  <c r="A7414"/>
  <c r="B7414"/>
  <c r="A7415"/>
  <c r="B7415"/>
  <c r="A7416"/>
  <c r="B7416"/>
  <c r="A7417"/>
  <c r="B7417"/>
  <c r="A7418"/>
  <c r="B7418"/>
  <c r="A7419"/>
  <c r="B7419"/>
  <c r="A7420"/>
  <c r="B7420"/>
  <c r="A7421"/>
  <c r="B7421"/>
  <c r="A7422"/>
  <c r="B7422"/>
  <c r="A7423"/>
  <c r="B7423"/>
  <c r="A7424"/>
  <c r="B7424"/>
  <c r="A7425"/>
  <c r="B7425"/>
  <c r="A7426"/>
  <c r="B7426"/>
  <c r="A7427"/>
  <c r="B7427"/>
  <c r="A7428"/>
  <c r="B7428"/>
  <c r="A7429"/>
  <c r="B7429"/>
  <c r="A7430"/>
  <c r="B7430"/>
  <c r="A7431"/>
  <c r="B7431"/>
  <c r="A7432"/>
  <c r="B7432"/>
  <c r="A7433"/>
  <c r="B7433"/>
  <c r="A7434"/>
  <c r="B7434"/>
  <c r="A7435"/>
  <c r="B7435"/>
  <c r="A7436"/>
  <c r="B7436"/>
  <c r="A7437"/>
  <c r="B7437"/>
  <c r="A7438"/>
  <c r="B7438"/>
  <c r="A7439"/>
  <c r="B7439"/>
  <c r="A7440"/>
  <c r="B7440"/>
  <c r="A7441"/>
  <c r="B7441"/>
  <c r="A7442"/>
  <c r="B7442"/>
  <c r="A7443"/>
  <c r="B7443"/>
  <c r="A7444"/>
  <c r="B7444"/>
  <c r="A7445"/>
  <c r="B7445"/>
  <c r="A7446"/>
  <c r="B7446"/>
  <c r="A7447"/>
  <c r="B7447"/>
  <c r="A7448"/>
  <c r="B7448"/>
  <c r="A7449"/>
  <c r="B7449"/>
  <c r="A7450"/>
  <c r="B7450"/>
  <c r="A7451"/>
  <c r="B7451"/>
  <c r="A7452"/>
  <c r="B7452"/>
  <c r="A7453"/>
  <c r="B7453"/>
  <c r="A7454"/>
  <c r="B7454"/>
  <c r="A7455"/>
  <c r="B7455"/>
  <c r="A7456"/>
  <c r="B7456"/>
  <c r="A7457"/>
  <c r="B7457"/>
  <c r="A7458"/>
  <c r="B7458"/>
  <c r="A7459"/>
  <c r="B7459"/>
  <c r="A7460"/>
  <c r="B7460"/>
  <c r="A7461"/>
  <c r="B7461"/>
  <c r="A7462"/>
  <c r="B7462"/>
  <c r="A7463"/>
  <c r="B7463"/>
  <c r="A7464"/>
  <c r="B7464"/>
  <c r="A7465"/>
  <c r="B7465"/>
  <c r="A7466"/>
  <c r="B7466"/>
  <c r="A7467"/>
  <c r="B7467"/>
  <c r="A7468"/>
  <c r="B7468"/>
  <c r="A7469"/>
  <c r="B7469"/>
  <c r="A7470"/>
  <c r="B7470"/>
  <c r="A7471"/>
  <c r="B7471"/>
  <c r="A7472"/>
  <c r="B7472"/>
  <c r="A7473"/>
  <c r="B7473"/>
  <c r="A7474"/>
  <c r="B7474"/>
  <c r="A7475"/>
  <c r="B7475"/>
  <c r="A7476"/>
  <c r="B7476"/>
  <c r="A7477"/>
  <c r="B7477"/>
  <c r="A7478"/>
  <c r="B7478"/>
  <c r="A7479"/>
  <c r="B7479"/>
  <c r="A7480"/>
  <c r="B7480"/>
  <c r="A7481"/>
  <c r="B7481"/>
  <c r="A7482"/>
  <c r="B7482"/>
  <c r="A7483"/>
  <c r="B7483"/>
  <c r="A7484"/>
  <c r="B7484"/>
  <c r="A7485"/>
  <c r="B7485"/>
  <c r="A7486"/>
  <c r="B7486"/>
  <c r="A7487"/>
  <c r="B7487"/>
  <c r="A7488"/>
  <c r="B7488"/>
  <c r="A7489"/>
  <c r="B7489"/>
  <c r="A7490"/>
  <c r="B7490"/>
  <c r="A7491"/>
  <c r="B7491"/>
  <c r="A7492"/>
  <c r="B7492"/>
  <c r="A7493"/>
  <c r="B7493"/>
  <c r="A7494"/>
  <c r="B7494"/>
  <c r="A7495"/>
  <c r="B7495"/>
  <c r="A7496"/>
  <c r="B7496"/>
  <c r="A7497"/>
  <c r="B7497"/>
  <c r="A7498"/>
  <c r="B7498"/>
  <c r="A7499"/>
  <c r="B7499"/>
  <c r="A7500"/>
  <c r="B7500"/>
  <c r="A7501"/>
  <c r="B7501"/>
  <c r="A7502"/>
  <c r="B7502"/>
  <c r="A7503"/>
  <c r="B7503"/>
  <c r="A7504"/>
  <c r="B7504"/>
  <c r="A7505"/>
  <c r="B7505"/>
  <c r="A7506"/>
  <c r="B7506"/>
  <c r="A7507"/>
  <c r="B7507"/>
  <c r="A7508"/>
  <c r="B7508"/>
  <c r="A7509"/>
  <c r="B7509"/>
  <c r="A7510"/>
  <c r="B7510"/>
  <c r="A7511"/>
  <c r="B7511"/>
  <c r="A7512"/>
  <c r="B7512"/>
  <c r="A7513"/>
  <c r="B7513"/>
  <c r="A7514"/>
  <c r="B7514"/>
  <c r="A7515"/>
  <c r="B7515"/>
  <c r="A7516"/>
  <c r="B7516"/>
  <c r="A7517"/>
  <c r="B7517"/>
  <c r="A7518"/>
  <c r="B7518"/>
  <c r="A7519"/>
  <c r="B7519"/>
  <c r="A7520"/>
  <c r="B7520"/>
  <c r="A7521"/>
  <c r="B7521"/>
  <c r="A7522"/>
  <c r="B7522"/>
  <c r="A7523"/>
  <c r="B7523"/>
  <c r="A7524"/>
  <c r="B7524"/>
  <c r="A7525"/>
  <c r="B7525"/>
  <c r="A7526"/>
  <c r="B7526"/>
  <c r="A7527"/>
  <c r="B7527"/>
  <c r="A7528"/>
  <c r="B7528"/>
  <c r="A7529"/>
  <c r="B7529"/>
  <c r="A7530"/>
  <c r="B7530"/>
  <c r="A7531"/>
  <c r="B7531"/>
  <c r="A7532"/>
  <c r="B7532"/>
  <c r="A7533"/>
  <c r="B7533"/>
  <c r="A7534"/>
  <c r="B7534"/>
  <c r="A7535"/>
  <c r="B7535"/>
  <c r="A7536"/>
  <c r="B7536"/>
  <c r="A7537"/>
  <c r="B7537"/>
  <c r="A7538"/>
  <c r="B7538"/>
  <c r="A7539"/>
  <c r="B7539"/>
  <c r="A7540"/>
  <c r="B7540"/>
  <c r="A7541"/>
  <c r="B7541"/>
  <c r="A7542"/>
  <c r="B7542"/>
  <c r="A7543"/>
  <c r="B7543"/>
  <c r="A7544"/>
  <c r="B7544"/>
  <c r="A7545"/>
  <c r="B7545"/>
  <c r="A7546"/>
  <c r="B7546"/>
  <c r="A7547"/>
  <c r="B7547"/>
  <c r="A7548"/>
  <c r="B7548"/>
  <c r="A7549"/>
  <c r="B7549"/>
  <c r="A7550"/>
  <c r="B7550"/>
  <c r="A7551"/>
  <c r="B7551"/>
  <c r="A7552"/>
  <c r="B7552"/>
  <c r="A7553"/>
  <c r="B7553"/>
  <c r="A7554"/>
  <c r="B7554"/>
  <c r="A7555"/>
  <c r="B7555"/>
  <c r="A7556"/>
  <c r="B7556"/>
  <c r="A7557"/>
  <c r="B7557"/>
  <c r="A7558"/>
  <c r="B7558"/>
  <c r="A7559"/>
  <c r="B7559"/>
  <c r="A7560"/>
  <c r="B7560"/>
  <c r="A7561"/>
  <c r="B7561"/>
  <c r="A7562"/>
  <c r="B7562"/>
  <c r="A7563"/>
  <c r="B7563"/>
  <c r="A7564"/>
  <c r="B7564"/>
  <c r="A7565"/>
  <c r="B7565"/>
  <c r="A7566"/>
  <c r="B7566"/>
  <c r="A7567"/>
  <c r="B7567"/>
  <c r="A7568"/>
  <c r="B7568"/>
  <c r="A7569"/>
  <c r="B7569"/>
  <c r="A7570"/>
  <c r="B7570"/>
  <c r="A7571"/>
  <c r="B7571"/>
  <c r="A7572"/>
  <c r="B7572"/>
  <c r="A7573"/>
  <c r="B7573"/>
  <c r="A7574"/>
  <c r="B7574"/>
  <c r="A7575"/>
  <c r="B7575"/>
  <c r="A7576"/>
  <c r="B7576"/>
  <c r="A7577"/>
  <c r="B7577"/>
  <c r="A7578"/>
  <c r="B7578"/>
  <c r="A7579"/>
  <c r="B7579"/>
  <c r="A7580"/>
  <c r="B7580"/>
  <c r="A7581"/>
  <c r="B7581"/>
  <c r="A7582"/>
  <c r="B7582"/>
  <c r="A7583"/>
  <c r="B7583"/>
  <c r="A7584"/>
  <c r="B7584"/>
  <c r="A7585"/>
  <c r="B7585"/>
  <c r="A7586"/>
  <c r="B7586"/>
  <c r="A7587"/>
  <c r="B7587"/>
  <c r="A7588"/>
  <c r="B7588"/>
  <c r="A7589"/>
  <c r="B7589"/>
  <c r="A7590"/>
  <c r="B7590"/>
  <c r="A7591"/>
  <c r="B7591"/>
  <c r="A7592"/>
  <c r="B7592"/>
  <c r="A7593"/>
  <c r="B7593"/>
  <c r="A7594"/>
  <c r="B7594"/>
  <c r="A7595"/>
  <c r="B7595"/>
  <c r="A7596"/>
  <c r="B7596"/>
  <c r="A7597"/>
  <c r="B7597"/>
  <c r="A7598"/>
  <c r="B7598"/>
  <c r="A7599"/>
  <c r="B7599"/>
  <c r="A7600"/>
  <c r="B7600"/>
  <c r="A7601"/>
  <c r="B7601"/>
  <c r="A7602"/>
  <c r="B7602"/>
  <c r="A7603"/>
  <c r="B7603"/>
  <c r="A7604"/>
  <c r="B7604"/>
  <c r="A7605"/>
  <c r="B7605"/>
  <c r="A7606"/>
  <c r="B7606"/>
  <c r="A7607"/>
  <c r="B7607"/>
  <c r="A7608"/>
  <c r="B7608"/>
  <c r="A7609"/>
  <c r="B7609"/>
  <c r="A7610"/>
  <c r="B7610"/>
  <c r="A7611"/>
  <c r="B7611"/>
  <c r="A7612"/>
  <c r="B7612"/>
  <c r="A7613"/>
  <c r="B7613"/>
  <c r="A7614"/>
  <c r="B7614"/>
  <c r="A7615"/>
  <c r="B7615"/>
  <c r="A7616"/>
  <c r="B7616"/>
  <c r="A7617"/>
  <c r="B7617"/>
  <c r="A7618"/>
  <c r="B7618"/>
  <c r="A7619"/>
  <c r="B7619"/>
  <c r="A7620"/>
  <c r="B7620"/>
  <c r="A7621"/>
  <c r="B7621"/>
  <c r="A7622"/>
  <c r="B7622"/>
  <c r="A7623"/>
  <c r="B7623"/>
  <c r="A7624"/>
  <c r="B7624"/>
  <c r="A7625"/>
  <c r="B7625"/>
  <c r="A7626"/>
  <c r="B7626"/>
  <c r="A7627"/>
  <c r="B7627"/>
  <c r="A7628"/>
  <c r="B7628"/>
  <c r="A7629"/>
  <c r="B7629"/>
  <c r="A7630"/>
  <c r="B7630"/>
  <c r="A7631"/>
  <c r="B7631"/>
  <c r="A7632"/>
  <c r="B7632"/>
  <c r="A7633"/>
  <c r="B7633"/>
  <c r="A7634"/>
  <c r="B7634"/>
  <c r="A7635"/>
  <c r="B7635"/>
  <c r="A7636"/>
  <c r="B7636"/>
  <c r="A7637"/>
  <c r="B7637"/>
  <c r="A7638"/>
  <c r="B7638"/>
  <c r="A7639"/>
  <c r="B7639"/>
  <c r="A7640"/>
  <c r="B7640"/>
  <c r="A7641"/>
  <c r="B7641"/>
  <c r="A7642"/>
  <c r="B7642"/>
  <c r="A7643"/>
  <c r="B7643"/>
  <c r="A7644"/>
  <c r="B7644"/>
  <c r="A7645"/>
  <c r="B7645"/>
  <c r="A7646"/>
  <c r="B7646"/>
  <c r="A7647"/>
  <c r="B7647"/>
  <c r="A7648"/>
  <c r="B7648"/>
  <c r="A7649"/>
  <c r="B7649"/>
  <c r="A7650"/>
  <c r="B7650"/>
  <c r="A7651"/>
  <c r="B7651"/>
  <c r="A7652"/>
  <c r="B7652"/>
  <c r="A7653"/>
  <c r="B7653"/>
  <c r="A7654"/>
  <c r="B7654"/>
  <c r="A7655"/>
  <c r="B7655"/>
  <c r="A7656"/>
  <c r="B7656"/>
  <c r="A7657"/>
  <c r="B7657"/>
  <c r="A7658"/>
  <c r="B7658"/>
  <c r="A7659"/>
  <c r="B7659"/>
  <c r="A7660"/>
  <c r="B7660"/>
  <c r="A7661"/>
  <c r="B7661"/>
  <c r="A7662"/>
  <c r="B7662"/>
  <c r="A7663"/>
  <c r="B7663"/>
  <c r="A7664"/>
  <c r="B7664"/>
  <c r="A7665"/>
  <c r="B7665"/>
  <c r="A7666"/>
  <c r="B7666"/>
  <c r="A7667"/>
  <c r="B7667"/>
  <c r="A7668"/>
  <c r="B7668"/>
  <c r="A7669"/>
  <c r="B7669"/>
  <c r="A7670"/>
  <c r="B7670"/>
  <c r="A7671"/>
  <c r="B7671"/>
  <c r="A7672"/>
  <c r="B7672"/>
  <c r="A7673"/>
  <c r="B7673"/>
  <c r="A7674"/>
  <c r="B7674"/>
  <c r="A7675"/>
  <c r="B7675"/>
  <c r="A7676"/>
  <c r="B7676"/>
  <c r="A7677"/>
  <c r="B7677"/>
  <c r="A7678"/>
  <c r="B7678"/>
  <c r="A7679"/>
  <c r="B7679"/>
  <c r="A7680"/>
  <c r="B7680"/>
  <c r="A7681"/>
  <c r="B7681"/>
  <c r="A7682"/>
  <c r="B7682"/>
  <c r="A7683"/>
  <c r="B7683"/>
  <c r="A7684"/>
  <c r="B7684"/>
  <c r="A7685"/>
  <c r="B7685"/>
  <c r="A7686"/>
  <c r="B7686"/>
  <c r="A7687"/>
  <c r="B7687"/>
  <c r="A7688"/>
  <c r="B7688"/>
  <c r="A7689"/>
  <c r="B7689"/>
  <c r="A7690"/>
  <c r="B7690"/>
  <c r="A7691"/>
  <c r="B7691"/>
  <c r="A7692"/>
  <c r="B7692"/>
  <c r="A7693"/>
  <c r="B7693"/>
  <c r="A7694"/>
  <c r="B7694"/>
  <c r="A7695"/>
  <c r="B7695"/>
  <c r="A7696"/>
  <c r="B7696"/>
  <c r="A7697"/>
  <c r="B7697"/>
  <c r="A7698"/>
  <c r="B7698"/>
  <c r="A7699"/>
  <c r="B7699"/>
  <c r="A7700"/>
  <c r="B7700"/>
  <c r="A7701"/>
  <c r="B7701"/>
  <c r="A7702"/>
  <c r="B7702"/>
  <c r="A7703"/>
  <c r="B7703"/>
  <c r="A7704"/>
  <c r="B7704"/>
  <c r="A7705"/>
  <c r="B7705"/>
  <c r="A7706"/>
  <c r="B7706"/>
  <c r="A7707"/>
  <c r="B7707"/>
  <c r="A7708"/>
  <c r="B7708"/>
  <c r="A7709"/>
  <c r="B7709"/>
  <c r="A7710"/>
  <c r="B7710"/>
  <c r="A7711"/>
  <c r="B7711"/>
  <c r="A7712"/>
  <c r="B7712"/>
  <c r="A7713"/>
  <c r="B7713"/>
  <c r="A7714"/>
  <c r="B7714"/>
  <c r="A7715"/>
  <c r="B7715"/>
  <c r="A7716"/>
  <c r="B7716"/>
  <c r="A7717"/>
  <c r="B7717"/>
  <c r="A7718"/>
  <c r="B7718"/>
  <c r="A7719"/>
  <c r="B7719"/>
  <c r="A7720"/>
  <c r="B7720"/>
  <c r="A7721"/>
  <c r="B7721"/>
  <c r="A7722"/>
  <c r="B7722"/>
  <c r="A7723"/>
  <c r="B7723"/>
  <c r="A7724"/>
  <c r="B7724"/>
  <c r="A7725"/>
  <c r="B7725"/>
  <c r="A7726"/>
  <c r="B7726"/>
  <c r="A7727"/>
  <c r="B7727"/>
  <c r="A7728"/>
  <c r="B7728"/>
  <c r="A7729"/>
  <c r="B7729"/>
  <c r="A7730"/>
  <c r="B7730"/>
  <c r="A7731"/>
  <c r="B7731"/>
  <c r="A7732"/>
  <c r="B7732"/>
  <c r="A7733"/>
  <c r="B7733"/>
  <c r="A7734"/>
  <c r="B7734"/>
  <c r="A7735"/>
  <c r="B7735"/>
  <c r="A7736"/>
  <c r="B7736"/>
  <c r="A7737"/>
  <c r="B7737"/>
  <c r="A7738"/>
  <c r="B7738"/>
  <c r="A7739"/>
  <c r="B7739"/>
  <c r="A7740"/>
  <c r="B7740"/>
  <c r="A7741"/>
  <c r="B7741"/>
  <c r="A7742"/>
  <c r="B7742"/>
  <c r="A7743"/>
  <c r="B7743"/>
  <c r="A7744"/>
  <c r="B7744"/>
  <c r="A7745"/>
  <c r="B7745"/>
  <c r="A7746"/>
  <c r="B7746"/>
  <c r="A7747"/>
  <c r="B7747"/>
  <c r="A7748"/>
  <c r="B7748"/>
  <c r="A7749"/>
  <c r="B7749"/>
  <c r="A7750"/>
  <c r="B7750"/>
  <c r="A7751"/>
  <c r="B7751"/>
  <c r="A7752"/>
  <c r="B7752"/>
  <c r="A7753"/>
  <c r="B7753"/>
  <c r="A7754"/>
  <c r="B7754"/>
  <c r="A7755"/>
  <c r="B7755"/>
  <c r="A7756"/>
  <c r="B7756"/>
  <c r="A7757"/>
  <c r="B7757"/>
  <c r="A7758"/>
  <c r="B7758"/>
  <c r="A7759"/>
  <c r="B7759"/>
  <c r="A7760"/>
  <c r="B7760"/>
  <c r="A7761"/>
  <c r="B7761"/>
  <c r="A7762"/>
  <c r="B7762"/>
  <c r="A7763"/>
  <c r="B7763"/>
  <c r="A7764"/>
  <c r="B7764"/>
  <c r="A7765"/>
  <c r="B7765"/>
  <c r="A7766"/>
  <c r="B7766"/>
  <c r="A7767"/>
  <c r="B7767"/>
  <c r="A7768"/>
  <c r="B7768"/>
  <c r="A7769"/>
  <c r="B7769"/>
  <c r="A7770"/>
  <c r="B7770"/>
  <c r="A7771"/>
  <c r="B7771"/>
  <c r="A7772"/>
  <c r="B7772"/>
  <c r="A7773"/>
  <c r="B7773"/>
  <c r="A7774"/>
  <c r="B7774"/>
  <c r="A7775"/>
  <c r="B7775"/>
  <c r="A7776"/>
  <c r="B7776"/>
  <c r="A7777"/>
  <c r="B7777"/>
  <c r="A7778"/>
  <c r="B7778"/>
  <c r="A7779"/>
  <c r="B7779"/>
  <c r="A7780"/>
  <c r="B7780"/>
  <c r="A7781"/>
  <c r="B7781"/>
  <c r="A7782"/>
  <c r="B7782"/>
  <c r="A7783"/>
  <c r="B7783"/>
  <c r="A7784"/>
  <c r="B7784"/>
  <c r="A7785"/>
  <c r="B7785"/>
  <c r="A7786"/>
  <c r="B7786"/>
  <c r="A7787"/>
  <c r="B7787"/>
  <c r="A7788"/>
  <c r="B7788"/>
  <c r="A7789"/>
  <c r="B7789"/>
  <c r="A7790"/>
  <c r="B7790"/>
  <c r="A7791"/>
  <c r="B7791"/>
  <c r="A7792"/>
  <c r="B7792"/>
  <c r="A7793"/>
  <c r="B7793"/>
  <c r="A7794"/>
  <c r="B7794"/>
  <c r="A7795"/>
  <c r="B7795"/>
  <c r="A7796"/>
  <c r="B7796"/>
  <c r="A7797"/>
  <c r="B7797"/>
  <c r="A7798"/>
  <c r="B7798"/>
  <c r="A7799"/>
  <c r="B7799"/>
  <c r="A7800"/>
  <c r="B7800"/>
  <c r="A7801"/>
  <c r="B7801"/>
  <c r="A7802"/>
  <c r="B7802"/>
  <c r="A7803"/>
  <c r="B7803"/>
  <c r="A7804"/>
  <c r="B7804"/>
  <c r="A7805"/>
  <c r="B7805"/>
  <c r="A7806"/>
  <c r="B7806"/>
  <c r="A7807"/>
  <c r="B7807"/>
  <c r="A7808"/>
  <c r="B7808"/>
  <c r="A7809"/>
  <c r="B7809"/>
  <c r="A7810"/>
  <c r="B7810"/>
  <c r="A7811"/>
  <c r="B7811"/>
  <c r="A7812"/>
  <c r="B7812"/>
  <c r="A7813"/>
  <c r="B7813"/>
  <c r="A7814"/>
  <c r="B7814"/>
  <c r="A7815"/>
  <c r="B7815"/>
  <c r="A7816"/>
  <c r="B7816"/>
  <c r="A7817"/>
  <c r="B7817"/>
  <c r="A7818"/>
  <c r="B7818"/>
  <c r="A7819"/>
  <c r="B7819"/>
  <c r="A7820"/>
  <c r="B7820"/>
  <c r="A7821"/>
  <c r="B7821"/>
  <c r="A7822"/>
  <c r="B7822"/>
  <c r="A7823"/>
  <c r="B7823"/>
  <c r="A7824"/>
  <c r="B7824"/>
  <c r="A7825"/>
  <c r="B7825"/>
  <c r="A7826"/>
  <c r="B7826"/>
  <c r="A7827"/>
  <c r="B7827"/>
  <c r="A7828"/>
  <c r="B7828"/>
  <c r="A7829"/>
  <c r="B7829"/>
  <c r="A7830"/>
  <c r="B7830"/>
  <c r="A7831"/>
  <c r="B7831"/>
  <c r="A7832"/>
  <c r="B7832"/>
  <c r="A7833"/>
  <c r="B7833"/>
  <c r="A7834"/>
  <c r="B7834"/>
  <c r="A7835"/>
  <c r="B7835"/>
  <c r="A7836"/>
  <c r="B7836"/>
  <c r="A7837"/>
  <c r="B7837"/>
  <c r="A7838"/>
  <c r="B7838"/>
  <c r="A7839"/>
  <c r="B7839"/>
  <c r="A7840"/>
  <c r="B7840"/>
  <c r="A7841"/>
  <c r="B7841"/>
  <c r="A7842"/>
  <c r="B7842"/>
  <c r="A7843"/>
  <c r="B7843"/>
  <c r="A7844"/>
  <c r="B7844"/>
  <c r="A7845"/>
  <c r="B7845"/>
  <c r="A7846"/>
  <c r="B7846"/>
  <c r="A7847"/>
  <c r="B7847"/>
  <c r="A7848"/>
  <c r="B7848"/>
  <c r="A7849"/>
  <c r="B7849"/>
  <c r="A7850"/>
  <c r="B7850"/>
  <c r="A7851"/>
  <c r="B7851"/>
  <c r="A7852"/>
  <c r="B7852"/>
  <c r="A7853"/>
  <c r="B7853"/>
  <c r="A7854"/>
  <c r="B7854"/>
  <c r="A7855"/>
  <c r="B7855"/>
  <c r="A7856"/>
  <c r="B7856"/>
  <c r="A7857"/>
  <c r="B7857"/>
  <c r="A7858"/>
  <c r="B7858"/>
  <c r="A7859"/>
  <c r="B7859"/>
  <c r="A7860"/>
  <c r="B7860"/>
  <c r="A7861"/>
  <c r="B7861"/>
  <c r="A7862"/>
  <c r="B7862"/>
  <c r="A7863"/>
  <c r="B7863"/>
  <c r="A7864"/>
  <c r="B7864"/>
  <c r="A7865"/>
  <c r="B7865"/>
  <c r="A7866"/>
  <c r="B7866"/>
  <c r="A7867"/>
  <c r="B7867"/>
  <c r="A7868"/>
  <c r="B7868"/>
  <c r="A7869"/>
  <c r="B7869"/>
  <c r="A7870"/>
  <c r="B7870"/>
  <c r="A7871"/>
  <c r="B7871"/>
  <c r="A7872"/>
  <c r="B7872"/>
  <c r="A7873"/>
  <c r="B7873"/>
  <c r="A7874"/>
  <c r="B7874"/>
  <c r="A7875"/>
  <c r="B7875"/>
  <c r="A7876"/>
  <c r="B7876"/>
  <c r="A7877"/>
  <c r="B7877"/>
  <c r="A7878"/>
  <c r="B7878"/>
  <c r="A7879"/>
  <c r="B7879"/>
  <c r="A7880"/>
  <c r="B7880"/>
  <c r="A7881"/>
  <c r="B7881"/>
  <c r="A7882"/>
  <c r="B7882"/>
  <c r="A7883"/>
  <c r="B7883"/>
  <c r="A7884"/>
  <c r="B7884"/>
  <c r="A7885"/>
  <c r="B7885"/>
  <c r="A7886"/>
  <c r="B7886"/>
  <c r="A7887"/>
  <c r="B7887"/>
  <c r="A7888"/>
  <c r="B7888"/>
  <c r="A7889"/>
  <c r="B7889"/>
  <c r="A7890"/>
  <c r="B7890"/>
  <c r="A7891"/>
  <c r="B7891"/>
  <c r="A7892"/>
  <c r="B7892"/>
  <c r="A7893"/>
  <c r="B7893"/>
  <c r="A7894"/>
  <c r="B7894"/>
  <c r="A7895"/>
  <c r="B7895"/>
  <c r="A7896"/>
  <c r="B7896"/>
  <c r="A7897"/>
  <c r="B7897"/>
  <c r="A7898"/>
  <c r="B7898"/>
  <c r="A7899"/>
  <c r="B7899"/>
  <c r="A7900"/>
  <c r="B7900"/>
  <c r="A7901"/>
  <c r="B7901"/>
  <c r="A7902"/>
  <c r="B7902"/>
  <c r="A7903"/>
  <c r="B7903"/>
  <c r="A7904"/>
  <c r="B7904"/>
  <c r="A7905"/>
  <c r="B7905"/>
  <c r="A7906"/>
  <c r="B7906"/>
  <c r="A7907"/>
  <c r="B7907"/>
  <c r="A7908"/>
  <c r="B7908"/>
  <c r="A7909"/>
  <c r="B7909"/>
  <c r="A7910"/>
  <c r="B7910"/>
  <c r="A7911"/>
  <c r="B7911"/>
  <c r="A7912"/>
  <c r="B7912"/>
  <c r="A7913"/>
  <c r="B7913"/>
  <c r="A7914"/>
  <c r="B7914"/>
  <c r="A7915"/>
  <c r="B7915"/>
  <c r="A7916"/>
  <c r="B7916"/>
  <c r="A7917"/>
  <c r="B7917"/>
  <c r="A7918"/>
  <c r="B7918"/>
  <c r="A7919"/>
  <c r="B7919"/>
  <c r="A7920"/>
  <c r="B7920"/>
  <c r="A7921"/>
  <c r="B7921"/>
  <c r="A7922"/>
  <c r="B7922"/>
  <c r="A7923"/>
  <c r="B7923"/>
  <c r="A7924"/>
  <c r="B7924"/>
  <c r="A7925"/>
  <c r="B7925"/>
  <c r="A7926"/>
  <c r="B7926"/>
  <c r="A7927"/>
  <c r="B7927"/>
  <c r="A7928"/>
  <c r="B7928"/>
  <c r="A7929"/>
  <c r="B7929"/>
  <c r="A7930"/>
  <c r="B7930"/>
  <c r="A7931"/>
  <c r="B7931"/>
  <c r="A7932"/>
  <c r="B7932"/>
  <c r="A7933"/>
  <c r="B7933"/>
  <c r="A7934"/>
  <c r="B7934"/>
  <c r="A7935"/>
  <c r="B7935"/>
  <c r="A7936"/>
  <c r="B7936"/>
  <c r="A7937"/>
  <c r="B7937"/>
  <c r="A7938"/>
  <c r="B7938"/>
  <c r="A7939"/>
  <c r="B7939"/>
  <c r="A7940"/>
  <c r="B7940"/>
  <c r="A7941"/>
  <c r="B7941"/>
  <c r="A7942"/>
  <c r="B7942"/>
  <c r="A7943"/>
  <c r="B7943"/>
  <c r="A7944"/>
  <c r="B7944"/>
  <c r="A7945"/>
  <c r="B7945"/>
  <c r="A7946"/>
  <c r="B7946"/>
  <c r="A7947"/>
  <c r="B7947"/>
  <c r="A7948"/>
  <c r="B7948"/>
  <c r="A7949"/>
  <c r="B7949"/>
  <c r="A7950"/>
  <c r="B7950"/>
  <c r="A7951"/>
  <c r="B7951"/>
  <c r="A7952"/>
  <c r="B7952"/>
  <c r="A7953"/>
  <c r="B7953"/>
  <c r="A7954"/>
  <c r="B7954"/>
  <c r="A7955"/>
  <c r="B7955"/>
  <c r="A7956"/>
  <c r="B7956"/>
  <c r="A7957"/>
  <c r="B7957"/>
  <c r="A7958"/>
  <c r="B7958"/>
  <c r="A7959"/>
  <c r="B7959"/>
  <c r="A7960"/>
  <c r="B7960"/>
  <c r="A7961"/>
  <c r="B7961"/>
  <c r="A7962"/>
  <c r="B7962"/>
  <c r="A7963"/>
  <c r="B7963"/>
  <c r="A7964"/>
  <c r="B7964"/>
  <c r="A7965"/>
  <c r="B7965"/>
  <c r="A7966"/>
  <c r="B7966"/>
  <c r="A7967"/>
  <c r="B7967"/>
  <c r="A7968"/>
  <c r="B7968"/>
  <c r="A7969"/>
  <c r="B7969"/>
  <c r="A7970"/>
  <c r="B7970"/>
  <c r="A7971"/>
  <c r="B7971"/>
  <c r="A7972"/>
  <c r="B7972"/>
  <c r="A7973"/>
  <c r="B7973"/>
  <c r="A7974"/>
  <c r="B7974"/>
  <c r="A7975"/>
  <c r="B7975"/>
  <c r="A7976"/>
  <c r="B7976"/>
  <c r="A7977"/>
  <c r="B7977"/>
  <c r="A7978"/>
  <c r="B7978"/>
  <c r="A7979"/>
  <c r="B7979"/>
  <c r="A7980"/>
  <c r="B7980"/>
  <c r="A7981"/>
  <c r="B7981"/>
  <c r="A7982"/>
  <c r="B7982"/>
  <c r="A7983"/>
  <c r="B7983"/>
  <c r="A7984"/>
  <c r="B7984"/>
  <c r="A7985"/>
  <c r="B7985"/>
  <c r="A7986"/>
  <c r="B7986"/>
  <c r="A7987"/>
  <c r="B7987"/>
  <c r="A7988"/>
  <c r="B7988"/>
  <c r="A7989"/>
  <c r="B7989"/>
  <c r="A7990"/>
  <c r="B7990"/>
  <c r="A7991"/>
  <c r="B7991"/>
  <c r="A7992"/>
  <c r="B7992"/>
  <c r="A7993"/>
  <c r="B7993"/>
  <c r="A7994"/>
  <c r="B7994"/>
  <c r="A7995"/>
  <c r="B7995"/>
  <c r="A7996"/>
  <c r="B7996"/>
  <c r="A7997"/>
  <c r="B7997"/>
  <c r="A7998"/>
  <c r="B7998"/>
  <c r="A7999"/>
  <c r="B7999"/>
  <c r="A8000"/>
  <c r="B8000"/>
  <c r="A8001"/>
  <c r="B8001"/>
  <c r="A8002"/>
  <c r="B8002"/>
  <c r="A8003"/>
  <c r="B8003"/>
  <c r="A8004"/>
  <c r="B8004"/>
  <c r="A8005"/>
  <c r="B8005"/>
  <c r="A8006"/>
  <c r="B8006"/>
  <c r="A8007"/>
  <c r="B8007"/>
  <c r="A8008"/>
  <c r="B8008"/>
  <c r="A8009"/>
  <c r="B8009"/>
  <c r="A8010"/>
  <c r="B8010"/>
  <c r="A8011"/>
  <c r="B8011"/>
  <c r="A8012"/>
  <c r="B8012"/>
  <c r="A8013"/>
  <c r="B8013"/>
  <c r="A8014"/>
  <c r="B8014"/>
  <c r="A8015"/>
  <c r="B8015"/>
  <c r="A8016"/>
  <c r="B8016"/>
  <c r="A8017"/>
  <c r="B8017"/>
  <c r="A8018"/>
  <c r="B8018"/>
  <c r="A8019"/>
  <c r="B8019"/>
  <c r="A8020"/>
  <c r="B8020"/>
  <c r="A8021"/>
  <c r="B8021"/>
  <c r="A8022"/>
  <c r="B8022"/>
  <c r="A8023"/>
  <c r="B8023"/>
  <c r="A8024"/>
  <c r="B8024"/>
  <c r="A8025"/>
  <c r="B8025"/>
  <c r="A8026"/>
  <c r="B8026"/>
  <c r="A8027"/>
  <c r="B8027"/>
  <c r="A8028"/>
  <c r="B8028"/>
  <c r="A8029"/>
  <c r="B8029"/>
  <c r="A8030"/>
  <c r="B8030"/>
  <c r="A8031"/>
  <c r="B8031"/>
  <c r="A8032"/>
  <c r="B8032"/>
  <c r="A8033"/>
  <c r="B8033"/>
  <c r="A8034"/>
  <c r="B8034"/>
  <c r="A8035"/>
  <c r="B8035"/>
  <c r="A8036"/>
  <c r="B8036"/>
  <c r="A8037"/>
  <c r="B8037"/>
  <c r="A8038"/>
  <c r="B8038"/>
  <c r="A8039"/>
  <c r="B8039"/>
  <c r="A8040"/>
  <c r="B8040"/>
  <c r="A8041"/>
  <c r="B8041"/>
  <c r="A8042"/>
  <c r="B8042"/>
  <c r="A8043"/>
  <c r="B8043"/>
  <c r="A8044"/>
  <c r="B8044"/>
  <c r="A8045"/>
  <c r="B8045"/>
  <c r="A8046"/>
  <c r="B8046"/>
  <c r="A8047"/>
  <c r="B8047"/>
  <c r="A8048"/>
  <c r="B8048"/>
  <c r="A8049"/>
  <c r="B8049"/>
  <c r="A8050"/>
  <c r="B8050"/>
  <c r="A8051"/>
  <c r="B8051"/>
  <c r="A8052"/>
  <c r="B8052"/>
  <c r="A8053"/>
  <c r="B8053"/>
  <c r="A8054"/>
  <c r="B8054"/>
  <c r="A8055"/>
  <c r="B8055"/>
  <c r="A8056"/>
  <c r="B8056"/>
  <c r="A8057"/>
  <c r="B8057"/>
  <c r="A8058"/>
  <c r="B8058"/>
  <c r="A8059"/>
  <c r="B8059"/>
  <c r="A8060"/>
  <c r="B8060"/>
  <c r="A8061"/>
  <c r="B8061"/>
  <c r="A8062"/>
  <c r="B8062"/>
  <c r="A8063"/>
  <c r="B8063"/>
  <c r="A8064"/>
  <c r="B8064"/>
  <c r="A8065"/>
  <c r="B8065"/>
  <c r="A8066"/>
  <c r="B8066"/>
  <c r="A8067"/>
  <c r="B8067"/>
  <c r="A8068"/>
  <c r="B8068"/>
  <c r="A8069"/>
  <c r="B8069"/>
  <c r="A8070"/>
  <c r="B8070"/>
  <c r="A8071"/>
  <c r="B8071"/>
  <c r="A8072"/>
  <c r="B8072"/>
  <c r="A8073"/>
  <c r="B8073"/>
  <c r="A8074"/>
  <c r="B8074"/>
  <c r="A8075"/>
  <c r="B8075"/>
  <c r="A8076"/>
  <c r="B8076"/>
  <c r="A8077"/>
  <c r="B8077"/>
  <c r="A8078"/>
  <c r="B8078"/>
  <c r="A8079"/>
  <c r="B8079"/>
  <c r="A8080"/>
  <c r="B8080"/>
  <c r="A8081"/>
  <c r="B8081"/>
  <c r="A8082"/>
  <c r="B8082"/>
  <c r="A8083"/>
  <c r="B8083"/>
  <c r="A8084"/>
  <c r="B8084"/>
  <c r="A8085"/>
  <c r="B8085"/>
  <c r="A8086"/>
  <c r="B8086"/>
  <c r="A8087"/>
  <c r="B8087"/>
  <c r="A8088"/>
  <c r="B8088"/>
  <c r="A8089"/>
  <c r="B8089"/>
  <c r="A8090"/>
  <c r="B8090"/>
  <c r="A8091"/>
  <c r="B8091"/>
  <c r="A8092"/>
  <c r="B8092"/>
  <c r="A8093"/>
  <c r="B8093"/>
  <c r="A8094"/>
  <c r="B8094"/>
  <c r="A8095"/>
  <c r="B8095"/>
  <c r="A8096"/>
  <c r="B8096"/>
  <c r="A8097"/>
  <c r="B8097"/>
  <c r="A8098"/>
  <c r="B8098"/>
  <c r="A8099"/>
  <c r="B8099"/>
  <c r="A8100"/>
  <c r="B8100"/>
  <c r="A8101"/>
  <c r="B8101"/>
  <c r="A8102"/>
  <c r="B8102"/>
  <c r="A8103"/>
  <c r="B8103"/>
  <c r="A8104"/>
  <c r="B8104"/>
  <c r="A8105"/>
  <c r="B8105"/>
  <c r="A8106"/>
  <c r="B8106"/>
  <c r="A8107"/>
  <c r="B8107"/>
  <c r="A8108"/>
  <c r="B8108"/>
  <c r="A8109"/>
  <c r="B8109"/>
  <c r="A8110"/>
  <c r="B8110"/>
  <c r="A8111"/>
  <c r="B8111"/>
  <c r="A8112"/>
  <c r="B8112"/>
  <c r="A8113"/>
  <c r="B8113"/>
  <c r="A8114"/>
  <c r="B8114"/>
  <c r="A8115"/>
  <c r="B8115"/>
  <c r="A8116"/>
  <c r="B8116"/>
  <c r="A8117"/>
  <c r="B8117"/>
  <c r="A8118"/>
  <c r="B8118"/>
  <c r="A8119"/>
  <c r="B8119"/>
  <c r="A8120"/>
  <c r="B8120"/>
  <c r="A8121"/>
  <c r="B8121"/>
  <c r="A8122"/>
  <c r="B8122"/>
  <c r="A8123"/>
  <c r="B8123"/>
  <c r="A8124"/>
  <c r="B8124"/>
  <c r="A8125"/>
  <c r="B8125"/>
  <c r="A8126"/>
  <c r="B8126"/>
  <c r="A8127"/>
  <c r="B8127"/>
  <c r="A8128"/>
  <c r="B8128"/>
  <c r="A8129"/>
  <c r="B8129"/>
  <c r="A8130"/>
  <c r="B8130"/>
  <c r="A8131"/>
  <c r="B8131"/>
  <c r="A8132"/>
  <c r="B8132"/>
  <c r="A8133"/>
  <c r="B8133"/>
  <c r="A8134"/>
  <c r="B8134"/>
  <c r="A8135"/>
  <c r="B8135"/>
  <c r="A8136"/>
  <c r="B8136"/>
  <c r="A8137"/>
  <c r="B8137"/>
  <c r="A8138"/>
  <c r="B8138"/>
  <c r="A8139"/>
  <c r="B8139"/>
  <c r="A8140"/>
  <c r="B8140"/>
  <c r="A8141"/>
  <c r="B8141"/>
  <c r="A8142"/>
  <c r="B8142"/>
  <c r="A8143"/>
  <c r="B8143"/>
  <c r="A8144"/>
  <c r="B8144"/>
  <c r="A8145"/>
  <c r="B8145"/>
  <c r="A8146"/>
  <c r="B8146"/>
  <c r="A8147"/>
  <c r="B8147"/>
  <c r="A8148"/>
  <c r="B8148"/>
  <c r="A8149"/>
  <c r="B8149"/>
  <c r="A8150"/>
  <c r="B8150"/>
  <c r="A8151"/>
  <c r="B8151"/>
  <c r="A8152"/>
  <c r="B8152"/>
  <c r="A8153"/>
  <c r="B8153"/>
  <c r="A8154"/>
  <c r="B8154"/>
  <c r="A8155"/>
  <c r="B8155"/>
  <c r="A8156"/>
  <c r="B8156"/>
  <c r="A8157"/>
  <c r="B8157"/>
  <c r="A8158"/>
  <c r="B8158"/>
  <c r="A8159"/>
  <c r="B8159"/>
  <c r="A8160"/>
  <c r="B8160"/>
  <c r="A8161"/>
  <c r="B8161"/>
  <c r="A8162"/>
  <c r="B8162"/>
  <c r="A8163"/>
  <c r="B8163"/>
  <c r="A8164"/>
  <c r="B8164"/>
  <c r="A8165"/>
  <c r="B8165"/>
  <c r="A8166"/>
  <c r="B8166"/>
  <c r="A8167"/>
  <c r="B8167"/>
  <c r="A8168"/>
  <c r="B8168"/>
  <c r="A8169"/>
  <c r="B8169"/>
  <c r="A8170"/>
  <c r="B8170"/>
  <c r="A8171"/>
  <c r="B8171"/>
  <c r="A8172"/>
  <c r="B8172"/>
  <c r="A8173"/>
  <c r="B8173"/>
  <c r="A8174"/>
  <c r="B8174"/>
  <c r="A8175"/>
  <c r="B8175"/>
  <c r="A8176"/>
  <c r="B8176"/>
  <c r="A8177"/>
  <c r="B8177"/>
  <c r="A8178"/>
  <c r="B8178"/>
  <c r="A8179"/>
  <c r="B8179"/>
  <c r="A8180"/>
  <c r="B8180"/>
  <c r="A8181"/>
  <c r="B8181"/>
  <c r="A8182"/>
  <c r="B8182"/>
  <c r="A8183"/>
  <c r="B8183"/>
  <c r="A8184"/>
  <c r="B8184"/>
  <c r="A8185"/>
  <c r="B8185"/>
  <c r="A8186"/>
  <c r="B8186"/>
  <c r="A8187"/>
  <c r="B8187"/>
  <c r="A8188"/>
  <c r="B8188"/>
  <c r="A8189"/>
  <c r="B8189"/>
  <c r="A8190"/>
  <c r="B8190"/>
  <c r="A8191"/>
  <c r="B8191"/>
  <c r="A8192"/>
  <c r="B8192"/>
  <c r="A8193"/>
  <c r="B8193"/>
  <c r="A8194"/>
  <c r="B8194"/>
  <c r="A8195"/>
  <c r="B8195"/>
  <c r="A8196"/>
  <c r="B8196"/>
  <c r="A8197"/>
  <c r="B8197"/>
  <c r="A8198"/>
  <c r="B8198"/>
  <c r="A8199"/>
  <c r="B8199"/>
  <c r="A8200"/>
  <c r="B8200"/>
  <c r="A8201"/>
  <c r="B8201"/>
  <c r="A8202"/>
  <c r="B8202"/>
  <c r="A8203"/>
  <c r="B8203"/>
  <c r="A8204"/>
  <c r="B8204"/>
  <c r="A8205"/>
  <c r="B8205"/>
  <c r="A8206"/>
  <c r="B8206"/>
  <c r="A8207"/>
  <c r="B8207"/>
  <c r="A8208"/>
  <c r="B8208"/>
  <c r="A8209"/>
  <c r="B8209"/>
  <c r="A8210"/>
  <c r="B8210"/>
  <c r="A8211"/>
  <c r="B8211"/>
  <c r="A8212"/>
  <c r="B8212"/>
  <c r="A8213"/>
  <c r="B8213"/>
  <c r="A8214"/>
  <c r="B8214"/>
  <c r="A8215"/>
  <c r="B8215"/>
  <c r="A8216"/>
  <c r="B8216"/>
  <c r="A8217"/>
  <c r="B8217"/>
  <c r="A8218"/>
  <c r="B8218"/>
  <c r="A8219"/>
  <c r="B8219"/>
  <c r="A8220"/>
  <c r="B8220"/>
  <c r="A8221"/>
  <c r="B8221"/>
  <c r="A8222"/>
  <c r="B8222"/>
  <c r="A8223"/>
  <c r="B8223"/>
  <c r="A8224"/>
  <c r="B8224"/>
  <c r="A8225"/>
  <c r="B8225"/>
  <c r="A8226"/>
  <c r="B8226"/>
  <c r="A8227"/>
  <c r="B8227"/>
  <c r="A8228"/>
  <c r="B8228"/>
  <c r="A8229"/>
  <c r="B8229"/>
  <c r="A8230"/>
  <c r="B8230"/>
  <c r="A8231"/>
  <c r="B8231"/>
  <c r="A8232"/>
  <c r="B8232"/>
  <c r="A8233"/>
  <c r="B8233"/>
  <c r="A8234"/>
  <c r="B8234"/>
  <c r="A8235"/>
  <c r="B8235"/>
  <c r="A8236"/>
  <c r="B8236"/>
  <c r="A8237"/>
  <c r="B8237"/>
  <c r="A8238"/>
  <c r="B8238"/>
  <c r="A8239"/>
  <c r="B8239"/>
  <c r="A8240"/>
  <c r="B8240"/>
  <c r="A8241"/>
  <c r="B8241"/>
  <c r="A8242"/>
  <c r="B8242"/>
  <c r="A8243"/>
  <c r="B8243"/>
  <c r="A8244"/>
  <c r="B8244"/>
  <c r="A8245"/>
  <c r="B8245"/>
  <c r="A8246"/>
  <c r="B8246"/>
  <c r="A8247"/>
  <c r="B8247"/>
  <c r="A8248"/>
  <c r="B8248"/>
  <c r="A8249"/>
  <c r="B8249"/>
  <c r="A8250"/>
  <c r="B8250"/>
  <c r="A8251"/>
  <c r="B8251"/>
  <c r="A8252"/>
  <c r="B8252"/>
  <c r="A8253"/>
  <c r="B8253"/>
  <c r="A8254"/>
  <c r="B8254"/>
  <c r="A8255"/>
  <c r="B8255"/>
  <c r="A8256"/>
  <c r="B8256"/>
  <c r="A8257"/>
  <c r="B8257"/>
  <c r="A8258"/>
  <c r="B8258"/>
  <c r="A8259"/>
  <c r="B8259"/>
  <c r="A8260"/>
  <c r="B8260"/>
  <c r="A8261"/>
  <c r="B8261"/>
  <c r="A8262"/>
  <c r="B8262"/>
  <c r="A8263"/>
  <c r="B8263"/>
  <c r="A8264"/>
  <c r="B8264"/>
  <c r="A8265"/>
  <c r="B8265"/>
  <c r="A8266"/>
  <c r="B8266"/>
  <c r="A8267"/>
  <c r="B8267"/>
  <c r="A8268"/>
  <c r="B8268"/>
  <c r="A8269"/>
  <c r="B8269"/>
  <c r="A8270"/>
  <c r="B8270"/>
  <c r="A8271"/>
  <c r="B8271"/>
  <c r="A8272"/>
  <c r="B8272"/>
  <c r="A8273"/>
  <c r="B8273"/>
  <c r="A8274"/>
  <c r="B8274"/>
  <c r="A8275"/>
  <c r="B8275"/>
  <c r="A8276"/>
  <c r="B8276"/>
  <c r="A8277"/>
  <c r="B8277"/>
  <c r="A8278"/>
  <c r="B8278"/>
  <c r="A8279"/>
  <c r="B8279"/>
  <c r="A8280"/>
  <c r="B8280"/>
  <c r="A8281"/>
  <c r="B8281"/>
  <c r="A8282"/>
  <c r="B8282"/>
  <c r="A8283"/>
  <c r="B8283"/>
  <c r="A8284"/>
  <c r="B8284"/>
  <c r="A8285"/>
  <c r="B8285"/>
  <c r="A8286"/>
  <c r="B8286"/>
  <c r="A8287"/>
  <c r="B8287"/>
  <c r="A8288"/>
  <c r="B8288"/>
  <c r="A8289"/>
  <c r="B8289"/>
  <c r="A8290"/>
  <c r="B8290"/>
  <c r="A8291"/>
  <c r="B8291"/>
  <c r="A8292"/>
  <c r="B8292"/>
  <c r="A8293"/>
  <c r="B8293"/>
  <c r="A8294"/>
  <c r="B8294"/>
  <c r="A8295"/>
  <c r="B8295"/>
  <c r="A8296"/>
  <c r="B8296"/>
  <c r="A8297"/>
  <c r="B8297"/>
  <c r="A8298"/>
  <c r="B8298"/>
  <c r="A8299"/>
  <c r="B8299"/>
  <c r="A8300"/>
  <c r="B8300"/>
  <c r="A8301"/>
  <c r="B8301"/>
  <c r="A8302"/>
  <c r="B8302"/>
  <c r="A8303"/>
  <c r="B8303"/>
  <c r="A8304"/>
  <c r="B8304"/>
  <c r="A8305"/>
  <c r="B8305"/>
  <c r="A8306"/>
  <c r="B8306"/>
  <c r="A8307"/>
  <c r="B8307"/>
  <c r="A8308"/>
  <c r="B8308"/>
  <c r="A8309"/>
  <c r="B8309"/>
  <c r="A8310"/>
  <c r="B8310"/>
  <c r="A8311"/>
  <c r="B8311"/>
  <c r="A8312"/>
  <c r="B8312"/>
  <c r="A8313"/>
  <c r="B8313"/>
  <c r="A8314"/>
  <c r="B8314"/>
  <c r="A8315"/>
  <c r="B8315"/>
  <c r="A8316"/>
  <c r="B8316"/>
  <c r="A8317"/>
  <c r="B8317"/>
  <c r="A8318"/>
  <c r="B8318"/>
  <c r="A8319"/>
  <c r="B8319"/>
  <c r="A8320"/>
  <c r="B8320"/>
  <c r="A8321"/>
  <c r="B8321"/>
  <c r="A8322"/>
  <c r="B8322"/>
  <c r="A8323"/>
  <c r="B8323"/>
  <c r="A8324"/>
  <c r="B8324"/>
  <c r="A8325"/>
  <c r="B8325"/>
  <c r="A8326"/>
  <c r="B8326"/>
  <c r="A8327"/>
  <c r="B8327"/>
  <c r="A8328"/>
  <c r="B8328"/>
  <c r="A8329"/>
  <c r="B8329"/>
  <c r="A8330"/>
  <c r="B8330"/>
  <c r="A8331"/>
  <c r="B8331"/>
  <c r="A8332"/>
  <c r="B8332"/>
  <c r="A8333"/>
  <c r="B8333"/>
  <c r="A8334"/>
  <c r="B8334"/>
  <c r="A8335"/>
  <c r="B8335"/>
  <c r="A8336"/>
  <c r="B8336"/>
  <c r="A8337"/>
  <c r="B8337"/>
  <c r="A8338"/>
  <c r="B8338"/>
  <c r="A8339"/>
  <c r="B8339"/>
  <c r="A8340"/>
  <c r="B8340"/>
  <c r="A8341"/>
  <c r="B8341"/>
  <c r="A8342"/>
  <c r="B8342"/>
  <c r="A8343"/>
  <c r="B8343"/>
  <c r="A8344"/>
  <c r="B8344"/>
  <c r="A8345"/>
  <c r="B8345"/>
  <c r="A8346"/>
  <c r="B8346"/>
  <c r="A8347"/>
  <c r="B8347"/>
  <c r="A8348"/>
  <c r="B8348"/>
  <c r="A8349"/>
  <c r="B8349"/>
  <c r="A8350"/>
  <c r="B8350"/>
  <c r="A8351"/>
  <c r="B8351"/>
  <c r="A8352"/>
  <c r="B8352"/>
  <c r="A8353"/>
  <c r="B8353"/>
  <c r="A8354"/>
  <c r="B8354"/>
  <c r="A8355"/>
  <c r="B8355"/>
  <c r="A8356"/>
  <c r="B8356"/>
  <c r="A8357"/>
  <c r="B8357"/>
  <c r="A8358"/>
  <c r="B8358"/>
  <c r="A8359"/>
  <c r="B8359"/>
  <c r="A8360"/>
  <c r="B8360"/>
  <c r="A8361"/>
  <c r="B8361"/>
  <c r="A8362"/>
  <c r="B8362"/>
  <c r="A8363"/>
  <c r="B8363"/>
  <c r="A8364"/>
  <c r="B8364"/>
  <c r="A8365"/>
  <c r="B8365"/>
  <c r="A8366"/>
  <c r="B8366"/>
  <c r="A8367"/>
  <c r="B8367"/>
  <c r="A8368"/>
  <c r="B8368"/>
  <c r="A8369"/>
  <c r="B8369"/>
  <c r="A8370"/>
  <c r="B8370"/>
  <c r="A8371"/>
  <c r="B8371"/>
  <c r="A8372"/>
  <c r="B8372"/>
  <c r="A8373"/>
  <c r="B8373"/>
  <c r="A8374"/>
  <c r="B8374"/>
  <c r="A8375"/>
  <c r="B8375"/>
  <c r="A8376"/>
  <c r="B8376"/>
  <c r="A8377"/>
  <c r="B8377"/>
  <c r="A8378"/>
  <c r="B8378"/>
  <c r="A8379"/>
  <c r="B8379"/>
  <c r="A8380"/>
  <c r="B8380"/>
  <c r="A8381"/>
  <c r="B8381"/>
  <c r="A8382"/>
  <c r="B8382"/>
  <c r="A8383"/>
  <c r="B8383"/>
  <c r="A8384"/>
  <c r="B8384"/>
  <c r="A8385"/>
  <c r="B8385"/>
  <c r="A8386"/>
  <c r="B8386"/>
  <c r="A8387"/>
  <c r="B8387"/>
  <c r="A8388"/>
  <c r="B8388"/>
  <c r="A8389"/>
  <c r="B8389"/>
  <c r="A8390"/>
  <c r="B8390"/>
  <c r="A8391"/>
  <c r="B8391"/>
  <c r="A8392"/>
  <c r="B8392"/>
  <c r="A8393"/>
  <c r="B8393"/>
  <c r="A8394"/>
  <c r="B8394"/>
  <c r="A8395"/>
  <c r="B8395"/>
  <c r="A8396"/>
  <c r="B8396"/>
  <c r="A8397"/>
  <c r="B8397"/>
  <c r="A8398"/>
  <c r="B8398"/>
  <c r="A8399"/>
  <c r="B8399"/>
  <c r="A8400"/>
  <c r="B8400"/>
  <c r="A8401"/>
  <c r="B8401"/>
  <c r="A8402"/>
  <c r="B8402"/>
  <c r="A8403"/>
  <c r="B8403"/>
  <c r="A8404"/>
  <c r="B8404"/>
  <c r="A8405"/>
  <c r="B8405"/>
  <c r="A8406"/>
  <c r="B8406"/>
  <c r="A8407"/>
  <c r="B8407"/>
  <c r="A8408"/>
  <c r="B8408"/>
  <c r="A8409"/>
  <c r="B8409"/>
  <c r="A8410"/>
  <c r="B8410"/>
  <c r="A8411"/>
  <c r="B8411"/>
  <c r="A8412"/>
  <c r="B8412"/>
  <c r="A8413"/>
  <c r="B8413"/>
  <c r="A8414"/>
  <c r="B8414"/>
  <c r="A8415"/>
  <c r="B8415"/>
  <c r="A8416"/>
  <c r="B8416"/>
  <c r="A8417"/>
  <c r="B8417"/>
  <c r="A8418"/>
  <c r="B8418"/>
  <c r="A8419"/>
  <c r="B8419"/>
  <c r="A8420"/>
  <c r="B8420"/>
  <c r="A8421"/>
  <c r="B8421"/>
  <c r="A8422"/>
  <c r="B8422"/>
  <c r="A8423"/>
  <c r="B8423"/>
  <c r="A8424"/>
  <c r="B8424"/>
  <c r="A8425"/>
  <c r="B8425"/>
  <c r="A8426"/>
  <c r="B8426"/>
  <c r="A8427"/>
  <c r="B8427"/>
  <c r="A8428"/>
  <c r="B8428"/>
  <c r="A8429"/>
  <c r="B8429"/>
  <c r="A8430"/>
  <c r="B8430"/>
  <c r="A8431"/>
  <c r="B8431"/>
  <c r="A8432"/>
  <c r="B8432"/>
  <c r="A8433"/>
  <c r="B8433"/>
  <c r="A8434"/>
  <c r="B8434"/>
  <c r="A8435"/>
  <c r="B8435"/>
  <c r="A8436"/>
  <c r="B8436"/>
  <c r="A8437"/>
  <c r="B8437"/>
  <c r="A8438"/>
  <c r="B8438"/>
  <c r="A8439"/>
  <c r="B8439"/>
  <c r="A8440"/>
  <c r="B8440"/>
  <c r="A8441"/>
  <c r="B8441"/>
  <c r="A8442"/>
  <c r="B8442"/>
  <c r="A8443"/>
  <c r="B8443"/>
  <c r="A8444"/>
  <c r="B8444"/>
  <c r="A8445"/>
  <c r="B8445"/>
  <c r="A8446"/>
  <c r="B8446"/>
  <c r="A8447"/>
  <c r="B8447"/>
  <c r="A8448"/>
  <c r="B8448"/>
  <c r="A8449"/>
  <c r="B8449"/>
  <c r="A8450"/>
  <c r="B8450"/>
  <c r="A8451"/>
  <c r="B8451"/>
  <c r="A8452"/>
  <c r="B8452"/>
  <c r="A8453"/>
  <c r="B8453"/>
  <c r="A8454"/>
  <c r="B8454"/>
  <c r="A8455"/>
  <c r="B8455"/>
  <c r="A8456"/>
  <c r="B8456"/>
  <c r="A8457"/>
  <c r="B8457"/>
  <c r="A8458"/>
  <c r="B8458"/>
  <c r="A8459"/>
  <c r="B8459"/>
  <c r="A8460"/>
  <c r="B8460"/>
  <c r="A8461"/>
  <c r="B8461"/>
  <c r="A8462"/>
  <c r="B8462"/>
  <c r="A8463"/>
  <c r="B8463"/>
  <c r="A8464"/>
  <c r="B8464"/>
  <c r="A8465"/>
  <c r="B8465"/>
  <c r="A8466"/>
  <c r="B8466"/>
  <c r="A8467"/>
  <c r="B8467"/>
  <c r="A8468"/>
  <c r="B8468"/>
  <c r="A8469"/>
  <c r="B8469"/>
  <c r="A8470"/>
  <c r="B8470"/>
  <c r="A8471"/>
  <c r="B8471"/>
  <c r="A8472"/>
  <c r="B8472"/>
  <c r="A8473"/>
  <c r="B8473"/>
  <c r="A8474"/>
  <c r="B8474"/>
  <c r="A8475"/>
  <c r="B8475"/>
  <c r="A8476"/>
  <c r="B8476"/>
  <c r="A8477"/>
  <c r="B8477"/>
  <c r="A8478"/>
  <c r="B8478"/>
  <c r="A8479"/>
  <c r="B8479"/>
  <c r="A8480"/>
  <c r="B8480"/>
  <c r="A8481"/>
  <c r="B8481"/>
  <c r="A8482"/>
  <c r="B8482"/>
  <c r="A8483"/>
  <c r="B8483"/>
  <c r="A8484"/>
  <c r="B8484"/>
  <c r="A8485"/>
  <c r="B8485"/>
  <c r="A8486"/>
  <c r="B8486"/>
  <c r="A8487"/>
  <c r="B8487"/>
  <c r="A8488"/>
  <c r="B8488"/>
  <c r="A8489"/>
  <c r="B8489"/>
  <c r="A8490"/>
  <c r="B8490"/>
  <c r="A8491"/>
  <c r="B8491"/>
  <c r="A8492"/>
  <c r="B8492"/>
  <c r="A8493"/>
  <c r="B8493"/>
  <c r="A8494"/>
  <c r="B8494"/>
  <c r="A8495"/>
  <c r="B8495"/>
  <c r="A8496"/>
  <c r="B8496"/>
  <c r="A8497"/>
  <c r="B8497"/>
  <c r="A8498"/>
  <c r="B8498"/>
  <c r="A8499"/>
  <c r="B8499"/>
  <c r="A8500"/>
  <c r="B8500"/>
  <c r="A8501"/>
  <c r="B8501"/>
  <c r="A8502"/>
  <c r="B8502"/>
  <c r="A8503"/>
  <c r="B8503"/>
  <c r="A8504"/>
  <c r="B8504"/>
  <c r="A8505"/>
  <c r="B8505"/>
  <c r="A8506"/>
  <c r="B8506"/>
  <c r="A8507"/>
  <c r="B8507"/>
  <c r="A8508"/>
  <c r="B8508"/>
  <c r="A8509"/>
  <c r="B8509"/>
  <c r="A8510"/>
  <c r="B8510"/>
  <c r="A8511"/>
  <c r="B8511"/>
  <c r="A8512"/>
  <c r="B8512"/>
  <c r="A8513"/>
  <c r="B8513"/>
  <c r="A8514"/>
  <c r="B8514"/>
  <c r="A8515"/>
  <c r="B8515"/>
  <c r="A8516"/>
  <c r="B8516"/>
  <c r="A8517"/>
  <c r="B8517"/>
  <c r="A8518"/>
  <c r="B8518"/>
  <c r="A8519"/>
  <c r="B8519"/>
  <c r="A8520"/>
  <c r="B8520"/>
  <c r="A8521"/>
  <c r="B8521"/>
  <c r="A8522"/>
  <c r="B8522"/>
  <c r="A8523"/>
  <c r="B8523"/>
  <c r="A8524"/>
  <c r="B8524"/>
  <c r="A8525"/>
  <c r="B8525"/>
  <c r="A8526"/>
  <c r="B8526"/>
  <c r="A8527"/>
  <c r="B8527"/>
  <c r="A8528"/>
  <c r="B8528"/>
  <c r="A8529"/>
  <c r="B8529"/>
  <c r="A8530"/>
  <c r="B8530"/>
  <c r="A8531"/>
  <c r="B8531"/>
  <c r="A8532"/>
  <c r="B8532"/>
  <c r="A8533"/>
  <c r="B8533"/>
  <c r="A8534"/>
  <c r="B8534"/>
  <c r="A8535"/>
  <c r="B8535"/>
  <c r="A8536"/>
  <c r="B8536"/>
  <c r="A8537"/>
  <c r="B8537"/>
  <c r="A8538"/>
  <c r="B8538"/>
  <c r="A8539"/>
  <c r="B8539"/>
  <c r="A8540"/>
  <c r="B8540"/>
  <c r="A8541"/>
  <c r="B8541"/>
  <c r="A8542"/>
  <c r="B8542"/>
  <c r="A8543"/>
  <c r="B8543"/>
  <c r="A8544"/>
  <c r="B8544"/>
  <c r="A8545"/>
  <c r="B8545"/>
  <c r="A8546"/>
  <c r="B8546"/>
  <c r="A8547"/>
  <c r="B8547"/>
  <c r="A8548"/>
  <c r="B8548"/>
  <c r="A8549"/>
  <c r="B8549"/>
  <c r="A8550"/>
  <c r="B8550"/>
  <c r="A8551"/>
  <c r="B8551"/>
  <c r="A8552"/>
  <c r="B8552"/>
  <c r="A8553"/>
  <c r="B8553"/>
  <c r="A8554"/>
  <c r="B8554"/>
  <c r="A8555"/>
  <c r="B8555"/>
  <c r="A8556"/>
  <c r="B8556"/>
  <c r="A8557"/>
  <c r="B8557"/>
  <c r="A8558"/>
  <c r="B8558"/>
  <c r="A8559"/>
  <c r="B8559"/>
  <c r="A8560"/>
  <c r="B8560"/>
  <c r="A8561"/>
  <c r="B8561"/>
  <c r="A8562"/>
  <c r="B8562"/>
  <c r="A8563"/>
  <c r="B8563"/>
  <c r="A8564"/>
  <c r="B8564"/>
  <c r="A8565"/>
  <c r="B8565"/>
  <c r="A8566"/>
  <c r="B8566"/>
  <c r="A8567"/>
  <c r="B8567"/>
  <c r="A8568"/>
  <c r="B8568"/>
  <c r="A8569"/>
  <c r="B8569"/>
  <c r="A8570"/>
  <c r="B8570"/>
  <c r="A8571"/>
  <c r="B8571"/>
  <c r="A8572"/>
  <c r="B8572"/>
  <c r="A8573"/>
  <c r="B8573"/>
  <c r="A8574"/>
  <c r="B8574"/>
  <c r="A8575"/>
  <c r="B8575"/>
  <c r="A8576"/>
  <c r="B8576"/>
  <c r="A8577"/>
  <c r="B8577"/>
  <c r="A8578"/>
  <c r="B8578"/>
  <c r="A8579"/>
  <c r="B8579"/>
  <c r="A8580"/>
  <c r="B8580"/>
  <c r="A8581"/>
  <c r="B8581"/>
  <c r="A8582"/>
  <c r="B8582"/>
  <c r="A8583"/>
  <c r="B8583"/>
  <c r="A8584"/>
  <c r="B8584"/>
  <c r="A8585"/>
  <c r="B8585"/>
  <c r="A8586"/>
  <c r="B8586"/>
  <c r="A8587"/>
  <c r="B8587"/>
  <c r="A8588"/>
  <c r="B8588"/>
  <c r="A8589"/>
  <c r="B8589"/>
  <c r="A8590"/>
  <c r="B8590"/>
  <c r="A8591"/>
  <c r="B8591"/>
  <c r="A8592"/>
  <c r="B8592"/>
  <c r="A8593"/>
  <c r="B8593"/>
  <c r="A8594"/>
  <c r="B8594"/>
  <c r="A8595"/>
  <c r="B8595"/>
  <c r="A8596"/>
  <c r="B8596"/>
  <c r="A8597"/>
  <c r="B8597"/>
  <c r="A8598"/>
  <c r="B8598"/>
  <c r="A8599"/>
  <c r="B8599"/>
  <c r="A8600"/>
  <c r="B8600"/>
  <c r="A8601"/>
  <c r="B8601"/>
  <c r="A8602"/>
  <c r="B8602"/>
  <c r="A8603"/>
  <c r="B8603"/>
  <c r="A8604"/>
  <c r="B8604"/>
  <c r="A8605"/>
  <c r="B8605"/>
  <c r="A8606"/>
  <c r="B8606"/>
  <c r="A8607"/>
  <c r="B8607"/>
  <c r="A8608"/>
  <c r="B8608"/>
  <c r="A8609"/>
  <c r="B8609"/>
  <c r="A8610"/>
  <c r="B8610"/>
  <c r="A8611"/>
  <c r="B8611"/>
  <c r="A8612"/>
  <c r="B8612"/>
  <c r="A8613"/>
  <c r="B8613"/>
  <c r="A8614"/>
  <c r="B8614"/>
  <c r="A8615"/>
  <c r="B8615"/>
  <c r="A8616"/>
  <c r="B8616"/>
  <c r="A8617"/>
  <c r="B8617"/>
  <c r="A8618"/>
  <c r="B8618"/>
  <c r="A8619"/>
  <c r="B8619"/>
  <c r="A8620"/>
  <c r="B8620"/>
  <c r="A8621"/>
  <c r="B8621"/>
  <c r="A8622"/>
  <c r="B8622"/>
  <c r="A8623"/>
  <c r="B8623"/>
  <c r="A8624"/>
  <c r="B8624"/>
  <c r="A8625"/>
  <c r="B8625"/>
  <c r="A8626"/>
  <c r="B8626"/>
  <c r="A8627"/>
  <c r="B8627"/>
  <c r="A8628"/>
  <c r="B8628"/>
  <c r="A8629"/>
  <c r="B8629"/>
  <c r="A8630"/>
  <c r="B8630"/>
  <c r="A8631"/>
  <c r="B8631"/>
  <c r="A8632"/>
  <c r="B8632"/>
  <c r="A8633"/>
  <c r="B8633"/>
  <c r="A8634"/>
  <c r="B8634"/>
  <c r="A8635"/>
  <c r="B8635"/>
  <c r="A8636"/>
  <c r="B8636"/>
  <c r="A8637"/>
  <c r="B8637"/>
  <c r="A8638"/>
  <c r="B8638"/>
  <c r="A8639"/>
  <c r="B8639"/>
  <c r="A8640"/>
  <c r="B8640"/>
  <c r="A8641"/>
  <c r="B8641"/>
  <c r="A8642"/>
  <c r="B8642"/>
  <c r="A8643"/>
  <c r="B8643"/>
  <c r="A8644"/>
  <c r="B8644"/>
  <c r="A8645"/>
  <c r="B8645"/>
  <c r="A8646"/>
  <c r="B8646"/>
  <c r="A8647"/>
  <c r="B8647"/>
  <c r="A8648"/>
  <c r="B8648"/>
  <c r="A8649"/>
  <c r="B8649"/>
  <c r="A8650"/>
  <c r="B8650"/>
  <c r="A8651"/>
  <c r="B8651"/>
  <c r="A8652"/>
  <c r="B8652"/>
  <c r="A8653"/>
  <c r="B8653"/>
  <c r="A8654"/>
  <c r="B8654"/>
  <c r="A8655"/>
  <c r="B8655"/>
  <c r="A8656"/>
  <c r="B8656"/>
  <c r="A8657"/>
  <c r="B8657"/>
  <c r="A8658"/>
  <c r="B8658"/>
  <c r="A8659"/>
  <c r="B8659"/>
  <c r="A8660"/>
  <c r="B8660"/>
  <c r="A8661"/>
  <c r="B8661"/>
  <c r="A8662"/>
  <c r="B8662"/>
  <c r="A8663"/>
  <c r="B8663"/>
  <c r="A8664"/>
  <c r="B8664"/>
  <c r="A8665"/>
  <c r="B8665"/>
  <c r="A8666"/>
  <c r="B8666"/>
  <c r="A8667"/>
  <c r="B8667"/>
  <c r="A8668"/>
  <c r="B8668"/>
  <c r="A8669"/>
  <c r="B8669"/>
  <c r="A8670"/>
  <c r="B8670"/>
  <c r="A8671"/>
  <c r="B8671"/>
  <c r="A8672"/>
  <c r="B8672"/>
  <c r="A8673"/>
  <c r="B8673"/>
  <c r="A8674"/>
  <c r="B8674"/>
  <c r="A8675"/>
  <c r="B8675"/>
  <c r="A8676"/>
  <c r="B8676"/>
  <c r="A8677"/>
  <c r="B8677"/>
  <c r="A8678"/>
  <c r="B8678"/>
  <c r="A8679"/>
  <c r="B8679"/>
  <c r="A8680"/>
  <c r="B8680"/>
  <c r="A8681"/>
  <c r="B8681"/>
  <c r="A8682"/>
  <c r="B8682"/>
  <c r="A8683"/>
  <c r="B8683"/>
  <c r="A8684"/>
  <c r="B8684"/>
  <c r="A8685"/>
  <c r="B8685"/>
  <c r="A8686"/>
  <c r="B8686"/>
  <c r="A8687"/>
  <c r="B8687"/>
  <c r="A8688"/>
  <c r="B8688"/>
  <c r="A8689"/>
  <c r="B8689"/>
  <c r="A8690"/>
  <c r="B8690"/>
  <c r="A8691"/>
  <c r="B8691"/>
  <c r="A8692"/>
  <c r="B8692"/>
  <c r="A8693"/>
  <c r="B8693"/>
  <c r="A8694"/>
  <c r="B8694"/>
  <c r="A8695"/>
  <c r="B8695"/>
  <c r="A8696"/>
  <c r="B8696"/>
  <c r="A8697"/>
  <c r="B8697"/>
  <c r="A8698"/>
  <c r="B8698"/>
  <c r="A8699"/>
  <c r="B8699"/>
  <c r="A8700"/>
  <c r="B8700"/>
  <c r="A8701"/>
  <c r="B8701"/>
  <c r="A8702"/>
  <c r="B8702"/>
  <c r="A8703"/>
  <c r="B8703"/>
  <c r="A8704"/>
  <c r="B8704"/>
  <c r="A8705"/>
  <c r="B8705"/>
  <c r="A8706"/>
  <c r="B8706"/>
  <c r="A8707"/>
  <c r="B8707"/>
  <c r="A8708"/>
  <c r="B8708"/>
  <c r="A8709"/>
  <c r="B8709"/>
  <c r="A8710"/>
  <c r="B8710"/>
  <c r="A8711"/>
  <c r="B8711"/>
  <c r="A8712"/>
  <c r="B8712"/>
  <c r="A8713"/>
  <c r="B8713"/>
  <c r="A8714"/>
  <c r="B8714"/>
  <c r="A8715"/>
  <c r="B8715"/>
  <c r="A8716"/>
  <c r="B8716"/>
  <c r="A8717"/>
  <c r="B8717"/>
  <c r="A8718"/>
  <c r="B8718"/>
  <c r="A8719"/>
  <c r="B8719"/>
  <c r="A8720"/>
  <c r="B8720"/>
  <c r="A8721"/>
  <c r="B8721"/>
  <c r="A8722"/>
  <c r="B8722"/>
  <c r="A8723"/>
  <c r="B8723"/>
  <c r="A8724"/>
  <c r="B8724"/>
  <c r="A8725"/>
  <c r="B8725"/>
  <c r="A8726"/>
  <c r="B8726"/>
  <c r="A8727"/>
  <c r="B8727"/>
  <c r="A8728"/>
  <c r="B8728"/>
  <c r="A8729"/>
  <c r="B8729"/>
  <c r="A8730"/>
  <c r="B8730"/>
  <c r="A8731"/>
  <c r="B8731"/>
  <c r="A8732"/>
  <c r="B8732"/>
  <c r="A8733"/>
  <c r="B8733"/>
  <c r="A8734"/>
  <c r="B8734"/>
  <c r="A8735"/>
  <c r="B8735"/>
  <c r="A8736"/>
  <c r="B8736"/>
  <c r="A8737"/>
  <c r="B8737"/>
  <c r="A8738"/>
  <c r="B8738"/>
  <c r="A8739"/>
  <c r="B8739"/>
  <c r="A8740"/>
  <c r="B8740"/>
  <c r="A8741"/>
  <c r="B8741"/>
  <c r="A8742"/>
  <c r="B8742"/>
  <c r="A8743"/>
  <c r="B8743"/>
  <c r="A8744"/>
  <c r="B8744"/>
  <c r="A8745"/>
  <c r="B8745"/>
  <c r="A8746"/>
  <c r="B8746"/>
  <c r="A8747"/>
  <c r="B8747"/>
  <c r="A8748"/>
  <c r="B8748"/>
  <c r="A8749"/>
  <c r="B8749"/>
  <c r="A8750"/>
  <c r="B8750"/>
  <c r="A8751"/>
  <c r="B8751"/>
  <c r="A8752"/>
  <c r="B8752"/>
  <c r="A8753"/>
  <c r="B8753"/>
  <c r="A8754"/>
  <c r="B8754"/>
  <c r="A8755"/>
  <c r="B8755"/>
  <c r="A8756"/>
  <c r="B8756"/>
  <c r="A8757"/>
  <c r="B8757"/>
  <c r="A8758"/>
  <c r="B8758"/>
  <c r="A8759"/>
  <c r="B8759"/>
  <c r="A8760"/>
  <c r="B8760"/>
  <c r="A8761"/>
  <c r="B8761"/>
  <c r="A8762"/>
  <c r="B8762"/>
  <c r="A8763"/>
  <c r="B8763"/>
  <c r="A8764"/>
  <c r="B8764"/>
  <c r="A8765"/>
  <c r="B8765"/>
  <c r="A8766"/>
  <c r="B8766"/>
  <c r="A8767"/>
  <c r="B8767"/>
  <c r="A8768"/>
  <c r="B8768"/>
  <c r="A8769"/>
  <c r="B8769"/>
  <c r="A8770"/>
  <c r="B8770"/>
  <c r="A8771"/>
  <c r="B8771"/>
  <c r="A8772"/>
  <c r="B8772"/>
  <c r="A8773"/>
  <c r="B8773"/>
  <c r="A8774"/>
  <c r="B8774"/>
  <c r="A8775"/>
  <c r="B8775"/>
  <c r="A8776"/>
  <c r="B8776"/>
  <c r="A8777"/>
  <c r="B8777"/>
  <c r="A8778"/>
  <c r="B8778"/>
  <c r="A8779"/>
  <c r="B8779"/>
  <c r="A8780"/>
  <c r="B8780"/>
  <c r="A8781"/>
  <c r="B8781"/>
  <c r="A8782"/>
  <c r="B8782"/>
  <c r="A8783"/>
  <c r="B8783"/>
  <c r="A8784"/>
  <c r="B8784"/>
  <c r="A8785"/>
  <c r="B8785"/>
  <c r="A8786"/>
  <c r="B8786"/>
  <c r="A8787"/>
  <c r="B8787"/>
  <c r="A8788"/>
  <c r="B8788"/>
  <c r="A8789"/>
  <c r="B8789"/>
  <c r="A8790"/>
  <c r="B8790"/>
  <c r="A8791"/>
  <c r="B8791"/>
  <c r="A8792"/>
  <c r="B8792"/>
  <c r="A8793"/>
  <c r="B8793"/>
  <c r="A8794"/>
  <c r="B8794"/>
  <c r="A8795"/>
  <c r="B8795"/>
  <c r="A8796"/>
  <c r="B8796"/>
  <c r="A8797"/>
  <c r="B8797"/>
  <c r="A8798"/>
  <c r="B8798"/>
  <c r="A8799"/>
  <c r="B8799"/>
  <c r="A8800"/>
  <c r="B8800"/>
  <c r="A8801"/>
  <c r="B8801"/>
  <c r="A8802"/>
  <c r="B8802"/>
  <c r="A8803"/>
  <c r="B8803"/>
  <c r="A8804"/>
  <c r="B8804"/>
  <c r="A8805"/>
  <c r="B8805"/>
  <c r="A8806"/>
  <c r="B8806"/>
  <c r="A8807"/>
  <c r="B8807"/>
  <c r="A8808"/>
  <c r="B8808"/>
  <c r="A8809"/>
  <c r="B8809"/>
  <c r="A8810"/>
  <c r="B8810"/>
  <c r="A8811"/>
  <c r="B8811"/>
  <c r="A8812"/>
  <c r="B8812"/>
  <c r="A8813"/>
  <c r="B8813"/>
  <c r="A8814"/>
  <c r="B8814"/>
  <c r="A8815"/>
  <c r="B8815"/>
  <c r="A8816"/>
  <c r="B8816"/>
  <c r="A8817"/>
  <c r="B8817"/>
  <c r="A8818"/>
  <c r="B8818"/>
  <c r="A8819"/>
  <c r="B8819"/>
  <c r="A8820"/>
  <c r="B8820"/>
  <c r="A8821"/>
  <c r="B8821"/>
  <c r="A8822"/>
  <c r="B8822"/>
  <c r="A8823"/>
  <c r="B8823"/>
  <c r="A8824"/>
  <c r="B8824"/>
  <c r="A8825"/>
  <c r="B8825"/>
  <c r="A8826"/>
  <c r="B8826"/>
  <c r="A8827"/>
  <c r="B8827"/>
  <c r="A8828"/>
  <c r="B8828"/>
  <c r="A8829"/>
  <c r="B8829"/>
  <c r="A8830"/>
  <c r="B8830"/>
  <c r="A8831"/>
  <c r="B8831"/>
  <c r="A8832"/>
  <c r="B8832"/>
  <c r="A8833"/>
  <c r="B8833"/>
  <c r="A8834"/>
  <c r="B8834"/>
  <c r="A8835"/>
  <c r="B8835"/>
  <c r="A8836"/>
  <c r="B8836"/>
  <c r="A8837"/>
  <c r="B8837"/>
  <c r="A8838"/>
  <c r="B8838"/>
  <c r="A8839"/>
  <c r="B8839"/>
  <c r="A8840"/>
  <c r="B8840"/>
  <c r="A8841"/>
  <c r="B8841"/>
  <c r="A8842"/>
  <c r="B8842"/>
  <c r="A8843"/>
  <c r="B8843"/>
  <c r="A8844"/>
  <c r="B8844"/>
  <c r="A8845"/>
  <c r="B8845"/>
  <c r="A8846"/>
  <c r="B8846"/>
  <c r="A8847"/>
  <c r="B8847"/>
  <c r="A8848"/>
  <c r="B8848"/>
  <c r="A8849"/>
  <c r="B8849"/>
  <c r="A8850"/>
  <c r="B8850"/>
  <c r="A8851"/>
  <c r="B8851"/>
  <c r="A8852"/>
  <c r="B8852"/>
  <c r="A8853"/>
  <c r="B8853"/>
  <c r="A8854"/>
  <c r="B8854"/>
  <c r="A8855"/>
  <c r="B8855"/>
  <c r="A8856"/>
  <c r="B8856"/>
  <c r="A8857"/>
  <c r="B8857"/>
  <c r="A8858"/>
  <c r="B8858"/>
  <c r="A8859"/>
  <c r="B8859"/>
  <c r="A8860"/>
  <c r="B8860"/>
  <c r="A8861"/>
  <c r="B8861"/>
  <c r="A8862"/>
  <c r="B8862"/>
  <c r="A8863"/>
  <c r="B8863"/>
  <c r="A8864"/>
  <c r="B8864"/>
  <c r="A8865"/>
  <c r="B8865"/>
  <c r="A8866"/>
  <c r="B8866"/>
  <c r="A8867"/>
  <c r="B8867"/>
  <c r="A8868"/>
  <c r="B8868"/>
  <c r="A8869"/>
  <c r="B8869"/>
  <c r="A8870"/>
  <c r="B8870"/>
  <c r="A8871"/>
  <c r="B8871"/>
  <c r="A8872"/>
  <c r="B8872"/>
  <c r="A8873"/>
  <c r="B8873"/>
  <c r="A8874"/>
  <c r="B8874"/>
  <c r="A8875"/>
  <c r="B8875"/>
  <c r="A8876"/>
  <c r="B8876"/>
  <c r="A8877"/>
  <c r="B8877"/>
  <c r="A8878"/>
  <c r="B8878"/>
  <c r="A8879"/>
  <c r="B8879"/>
  <c r="A8880"/>
  <c r="B8880"/>
  <c r="A8881"/>
  <c r="B8881"/>
  <c r="A8882"/>
  <c r="B8882"/>
  <c r="A8883"/>
  <c r="B8883"/>
  <c r="A8884"/>
  <c r="B8884"/>
  <c r="A8885"/>
  <c r="B8885"/>
  <c r="A8886"/>
  <c r="B8886"/>
  <c r="A8887"/>
  <c r="B8887"/>
  <c r="A8888"/>
  <c r="B8888"/>
  <c r="A8889"/>
  <c r="B8889"/>
  <c r="A8890"/>
  <c r="B8890"/>
  <c r="A8891"/>
  <c r="B8891"/>
  <c r="A8892"/>
  <c r="B8892"/>
  <c r="A8893"/>
  <c r="B8893"/>
  <c r="A8894"/>
  <c r="B8894"/>
  <c r="A8895"/>
  <c r="B8895"/>
  <c r="A8896"/>
  <c r="B8896"/>
  <c r="A8897"/>
  <c r="B8897"/>
  <c r="A8898"/>
  <c r="B8898"/>
  <c r="A8899"/>
  <c r="B8899"/>
  <c r="A8900"/>
  <c r="B8900"/>
  <c r="A8901"/>
  <c r="B8901"/>
  <c r="A8902"/>
  <c r="B8902"/>
  <c r="A8903"/>
  <c r="B8903"/>
  <c r="A8904"/>
  <c r="B8904"/>
  <c r="A8905"/>
  <c r="B8905"/>
  <c r="A8906"/>
  <c r="B8906"/>
  <c r="A8907"/>
  <c r="B8907"/>
  <c r="A8908"/>
  <c r="B8908"/>
  <c r="A8909"/>
  <c r="B8909"/>
  <c r="A8910"/>
  <c r="B8910"/>
  <c r="A8911"/>
  <c r="B8911"/>
  <c r="A8912"/>
  <c r="B8912"/>
  <c r="A8913"/>
  <c r="B8913"/>
  <c r="A8914"/>
  <c r="B8914"/>
  <c r="A8915"/>
  <c r="B8915"/>
  <c r="A8916"/>
  <c r="B8916"/>
  <c r="A8917"/>
  <c r="B8917"/>
  <c r="A8918"/>
  <c r="B8918"/>
  <c r="A8919"/>
  <c r="B8919"/>
  <c r="A8920"/>
  <c r="B8920"/>
  <c r="A8921"/>
  <c r="B8921"/>
  <c r="A8922"/>
  <c r="B8922"/>
  <c r="A8923"/>
  <c r="B8923"/>
  <c r="A8924"/>
  <c r="B8924"/>
  <c r="A8925"/>
  <c r="B8925"/>
  <c r="A8926"/>
  <c r="B8926"/>
  <c r="A8927"/>
  <c r="B8927"/>
  <c r="A8928"/>
  <c r="B8928"/>
  <c r="A8929"/>
  <c r="B8929"/>
  <c r="A8930"/>
  <c r="B8930"/>
  <c r="A8931"/>
  <c r="B8931"/>
  <c r="A8932"/>
  <c r="B8932"/>
  <c r="A8933"/>
  <c r="B8933"/>
  <c r="A8934"/>
  <c r="B8934"/>
  <c r="A8935"/>
  <c r="B8935"/>
  <c r="A8936"/>
  <c r="B8936"/>
  <c r="A8937"/>
  <c r="B8937"/>
  <c r="A8938"/>
  <c r="B8938"/>
  <c r="A8939"/>
  <c r="B8939"/>
  <c r="A8940"/>
  <c r="B8940"/>
  <c r="A8941"/>
  <c r="B8941"/>
  <c r="A8942"/>
  <c r="B8942"/>
  <c r="A8943"/>
  <c r="B8943"/>
  <c r="A8944"/>
  <c r="B8944"/>
  <c r="A8945"/>
  <c r="B8945"/>
  <c r="A8946"/>
  <c r="B8946"/>
  <c r="A8947"/>
  <c r="B8947"/>
  <c r="A8948"/>
  <c r="B8948"/>
  <c r="A8949"/>
  <c r="B8949"/>
  <c r="A8950"/>
  <c r="B8950"/>
  <c r="A8951"/>
  <c r="B8951"/>
  <c r="A8952"/>
  <c r="B8952"/>
  <c r="A8953"/>
  <c r="B8953"/>
  <c r="A8954"/>
  <c r="B8954"/>
  <c r="A8955"/>
  <c r="B8955"/>
  <c r="A8956"/>
  <c r="B8956"/>
  <c r="A8957"/>
  <c r="B8957"/>
  <c r="A8958"/>
  <c r="B8958"/>
  <c r="A8959"/>
  <c r="B8959"/>
  <c r="A8960"/>
  <c r="B8960"/>
  <c r="A8961"/>
  <c r="B8961"/>
  <c r="A8962"/>
  <c r="B8962"/>
  <c r="A8963"/>
  <c r="B8963"/>
  <c r="A8964"/>
  <c r="B8964"/>
  <c r="A8965"/>
  <c r="B8965"/>
  <c r="A8966"/>
  <c r="B8966"/>
  <c r="A8967"/>
  <c r="B8967"/>
  <c r="A8968"/>
  <c r="B8968"/>
  <c r="A8969"/>
  <c r="B8969"/>
  <c r="A8970"/>
  <c r="B8970"/>
  <c r="A8971"/>
  <c r="B8971"/>
  <c r="A8972"/>
  <c r="B8972"/>
  <c r="A8973"/>
  <c r="B8973"/>
  <c r="A8974"/>
  <c r="B8974"/>
  <c r="A8975"/>
  <c r="B8975"/>
  <c r="A8976"/>
  <c r="B8976"/>
  <c r="A8977"/>
  <c r="B8977"/>
  <c r="A8978"/>
  <c r="B8978"/>
  <c r="A8979"/>
  <c r="B8979"/>
  <c r="A8980"/>
  <c r="B8980"/>
  <c r="A8981"/>
  <c r="B8981"/>
  <c r="A8982"/>
  <c r="B8982"/>
  <c r="A8983"/>
  <c r="B8983"/>
  <c r="A8984"/>
  <c r="B8984"/>
  <c r="A8985"/>
  <c r="B8985"/>
  <c r="A8986"/>
  <c r="B8986"/>
  <c r="A8987"/>
  <c r="B8987"/>
  <c r="A8988"/>
  <c r="B8988"/>
  <c r="A8989"/>
  <c r="B8989"/>
  <c r="A8990"/>
  <c r="B8990"/>
  <c r="A8991"/>
  <c r="B8991"/>
  <c r="A8992"/>
  <c r="B8992"/>
  <c r="A8993"/>
  <c r="B8993"/>
  <c r="A8994"/>
  <c r="B8994"/>
  <c r="A8995"/>
  <c r="B8995"/>
  <c r="A8996"/>
  <c r="B8996"/>
  <c r="A8997"/>
  <c r="B8997"/>
  <c r="A8998"/>
  <c r="B8998"/>
  <c r="A8999"/>
  <c r="B8999"/>
  <c r="A9000"/>
  <c r="B9000"/>
  <c r="A9001"/>
  <c r="B9001"/>
  <c r="A9002"/>
  <c r="B9002"/>
  <c r="A9003"/>
  <c r="B9003"/>
  <c r="A9004"/>
  <c r="B9004"/>
  <c r="A9005"/>
  <c r="B9005"/>
  <c r="A9006"/>
  <c r="B9006"/>
  <c r="A9007"/>
  <c r="B9007"/>
  <c r="A9008"/>
  <c r="B9008"/>
  <c r="A9009"/>
  <c r="B9009"/>
  <c r="A9010"/>
  <c r="B9010"/>
  <c r="A9011"/>
  <c r="B9011"/>
  <c r="A9012"/>
  <c r="B9012"/>
  <c r="A9013"/>
  <c r="B9013"/>
  <c r="A9014"/>
  <c r="B9014"/>
  <c r="A9015"/>
  <c r="B9015"/>
  <c r="A9016"/>
  <c r="B9016"/>
  <c r="A9017"/>
  <c r="B9017"/>
  <c r="A9018"/>
  <c r="B9018"/>
  <c r="A9019"/>
  <c r="B9019"/>
  <c r="A9020"/>
  <c r="B9020"/>
  <c r="A9021"/>
  <c r="B9021"/>
  <c r="A9022"/>
  <c r="B9022"/>
  <c r="A9023"/>
  <c r="B9023"/>
  <c r="A9024"/>
  <c r="B9024"/>
  <c r="A9025"/>
  <c r="B9025"/>
  <c r="A9026"/>
  <c r="B9026"/>
  <c r="A9027"/>
  <c r="B9027"/>
  <c r="A9028"/>
  <c r="B9028"/>
  <c r="A9029"/>
  <c r="B9029"/>
  <c r="A9030"/>
  <c r="B9030"/>
  <c r="A9031"/>
  <c r="B9031"/>
  <c r="A9032"/>
  <c r="B9032"/>
  <c r="A9033"/>
  <c r="B9033"/>
  <c r="A9034"/>
  <c r="B9034"/>
  <c r="A9035"/>
  <c r="B9035"/>
  <c r="A9036"/>
  <c r="B9036"/>
  <c r="A9037"/>
  <c r="B9037"/>
  <c r="A9038"/>
  <c r="B9038"/>
  <c r="A9039"/>
  <c r="B9039"/>
  <c r="A9040"/>
  <c r="B9040"/>
  <c r="A9041"/>
  <c r="B9041"/>
  <c r="A9042"/>
  <c r="B9042"/>
  <c r="A9043"/>
  <c r="B9043"/>
  <c r="A9044"/>
  <c r="B9044"/>
  <c r="A9045"/>
  <c r="B9045"/>
  <c r="A9046"/>
  <c r="B9046"/>
  <c r="A9047"/>
  <c r="B9047"/>
  <c r="A9048"/>
  <c r="B9048"/>
  <c r="A9049"/>
  <c r="B9049"/>
  <c r="A9050"/>
  <c r="B9050"/>
  <c r="A9051"/>
  <c r="B9051"/>
  <c r="A9052"/>
  <c r="B9052"/>
  <c r="A9053"/>
  <c r="B9053"/>
  <c r="A9054"/>
  <c r="B9054"/>
  <c r="A9055"/>
  <c r="B9055"/>
  <c r="A9056"/>
  <c r="B9056"/>
  <c r="A9057"/>
  <c r="B9057"/>
  <c r="A9058"/>
  <c r="B9058"/>
  <c r="A9059"/>
  <c r="B9059"/>
  <c r="A9060"/>
  <c r="B9060"/>
  <c r="A9061"/>
  <c r="B9061"/>
  <c r="A9062"/>
  <c r="B9062"/>
  <c r="A9063"/>
  <c r="B9063"/>
  <c r="A9064"/>
  <c r="B9064"/>
  <c r="A9065"/>
  <c r="B9065"/>
  <c r="A9066"/>
  <c r="B9066"/>
  <c r="A9067"/>
  <c r="B9067"/>
  <c r="A9068"/>
  <c r="B9068"/>
  <c r="A9069"/>
  <c r="B9069"/>
  <c r="A9070"/>
  <c r="B9070"/>
  <c r="A9071"/>
  <c r="B9071"/>
  <c r="A9072"/>
  <c r="B9072"/>
  <c r="A9073"/>
  <c r="B9073"/>
  <c r="A9074"/>
  <c r="B9074"/>
  <c r="A9075"/>
  <c r="B9075"/>
  <c r="A9076"/>
  <c r="B9076"/>
  <c r="A9077"/>
  <c r="B9077"/>
  <c r="A9078"/>
  <c r="B9078"/>
  <c r="A9079"/>
  <c r="B9079"/>
  <c r="A9080"/>
  <c r="B9080"/>
  <c r="A9081"/>
  <c r="B9081"/>
  <c r="A9082"/>
  <c r="B9082"/>
  <c r="A9083"/>
  <c r="B9083"/>
  <c r="A9084"/>
  <c r="B9084"/>
  <c r="A9085"/>
  <c r="B9085"/>
  <c r="A9086"/>
  <c r="B9086"/>
  <c r="A9087"/>
  <c r="B9087"/>
  <c r="A9088"/>
  <c r="B9088"/>
  <c r="A9089"/>
  <c r="B9089"/>
  <c r="A9090"/>
  <c r="B9090"/>
  <c r="A9091"/>
  <c r="B9091"/>
  <c r="A9092"/>
  <c r="B9092"/>
  <c r="A9093"/>
  <c r="B9093"/>
  <c r="A9094"/>
  <c r="B9094"/>
  <c r="A9095"/>
  <c r="B9095"/>
  <c r="A9096"/>
  <c r="B9096"/>
  <c r="A9097"/>
  <c r="B9097"/>
  <c r="A9098"/>
  <c r="B9098"/>
  <c r="A9099"/>
  <c r="B9099"/>
  <c r="A9100"/>
  <c r="B9100"/>
  <c r="A9101"/>
  <c r="B9101"/>
  <c r="A9102"/>
  <c r="B9102"/>
  <c r="A9103"/>
  <c r="B9103"/>
  <c r="A9104"/>
  <c r="B9104"/>
  <c r="A9105"/>
  <c r="B9105"/>
  <c r="A9106"/>
  <c r="B9106"/>
  <c r="A9107"/>
  <c r="B9107"/>
  <c r="A9108"/>
  <c r="B9108"/>
  <c r="A9109"/>
  <c r="B9109"/>
  <c r="A9110"/>
  <c r="B9110"/>
  <c r="A9111"/>
  <c r="B9111"/>
  <c r="A9112"/>
  <c r="B9112"/>
  <c r="A9113"/>
  <c r="B9113"/>
  <c r="A9114"/>
  <c r="B9114"/>
  <c r="A9115"/>
  <c r="B9115"/>
  <c r="A9116"/>
  <c r="B9116"/>
  <c r="A9117"/>
  <c r="B9117"/>
  <c r="A9118"/>
  <c r="B9118"/>
  <c r="A9119"/>
  <c r="B9119"/>
  <c r="A9120"/>
  <c r="B9120"/>
  <c r="A9121"/>
  <c r="B9121"/>
  <c r="A9122"/>
  <c r="B9122"/>
  <c r="A9123"/>
  <c r="B9123"/>
  <c r="A9124"/>
  <c r="B9124"/>
  <c r="A9125"/>
  <c r="B9125"/>
  <c r="A9126"/>
  <c r="B9126"/>
  <c r="A9127"/>
  <c r="B9127"/>
  <c r="A9128"/>
  <c r="B9128"/>
  <c r="A9129"/>
  <c r="B9129"/>
  <c r="A9130"/>
  <c r="B9130"/>
  <c r="A9131"/>
  <c r="B9131"/>
  <c r="A9132"/>
  <c r="B9132"/>
  <c r="A9133"/>
  <c r="B9133"/>
  <c r="A9134"/>
  <c r="B9134"/>
  <c r="A9135"/>
  <c r="B9135"/>
  <c r="A9136"/>
  <c r="B9136"/>
  <c r="A9137"/>
  <c r="B9137"/>
  <c r="A9138"/>
  <c r="B9138"/>
  <c r="A9139"/>
  <c r="B9139"/>
  <c r="A9140"/>
  <c r="B9140"/>
  <c r="A9141"/>
  <c r="B9141"/>
  <c r="A9142"/>
  <c r="B9142"/>
  <c r="A9143"/>
  <c r="B9143"/>
  <c r="A9144"/>
  <c r="B9144"/>
  <c r="A9145"/>
  <c r="B9145"/>
  <c r="A9146"/>
  <c r="B9146"/>
  <c r="A9147"/>
  <c r="B9147"/>
  <c r="A9148"/>
  <c r="B9148"/>
  <c r="A9149"/>
  <c r="B9149"/>
  <c r="A9150"/>
  <c r="B9150"/>
  <c r="A9151"/>
  <c r="B9151"/>
  <c r="A9152"/>
  <c r="B9152"/>
  <c r="A9153"/>
  <c r="B9153"/>
  <c r="A9154"/>
  <c r="B9154"/>
  <c r="A9155"/>
  <c r="B9155"/>
  <c r="A9156"/>
  <c r="B9156"/>
  <c r="A9157"/>
  <c r="B9157"/>
  <c r="A9158"/>
  <c r="B9158"/>
  <c r="A9159"/>
  <c r="B9159"/>
  <c r="A9160"/>
  <c r="B9160"/>
  <c r="A9161"/>
  <c r="B9161"/>
  <c r="A9162"/>
  <c r="B9162"/>
  <c r="A9163"/>
  <c r="B9163"/>
  <c r="A9164"/>
  <c r="B9164"/>
  <c r="A9165"/>
  <c r="B9165"/>
  <c r="A9166"/>
  <c r="B9166"/>
  <c r="A9167"/>
  <c r="B9167"/>
  <c r="A9168"/>
  <c r="B9168"/>
  <c r="A9169"/>
  <c r="B9169"/>
  <c r="A9170"/>
  <c r="B9170"/>
  <c r="A9171"/>
  <c r="B9171"/>
  <c r="A9172"/>
  <c r="B9172"/>
  <c r="A9173"/>
  <c r="B9173"/>
  <c r="A9174"/>
  <c r="B9174"/>
  <c r="A9175"/>
  <c r="B9175"/>
  <c r="A9176"/>
  <c r="B9176"/>
  <c r="A9177"/>
  <c r="B9177"/>
  <c r="A9178"/>
  <c r="B9178"/>
  <c r="A9179"/>
  <c r="B9179"/>
  <c r="A9180"/>
  <c r="B9180"/>
  <c r="A9181"/>
  <c r="B9181"/>
  <c r="A9182"/>
  <c r="B9182"/>
  <c r="A9183"/>
  <c r="B9183"/>
  <c r="A9184"/>
  <c r="B9184"/>
  <c r="A9185"/>
  <c r="B9185"/>
  <c r="A9186"/>
  <c r="B9186"/>
  <c r="A9187"/>
  <c r="B9187"/>
  <c r="A9188"/>
  <c r="B9188"/>
  <c r="A9189"/>
  <c r="B9189"/>
  <c r="A9190"/>
  <c r="B9190"/>
  <c r="A9191"/>
  <c r="B9191"/>
  <c r="A9192"/>
  <c r="B9192"/>
  <c r="A9193"/>
  <c r="B9193"/>
  <c r="A9194"/>
  <c r="B9194"/>
  <c r="A9195"/>
  <c r="B9195"/>
  <c r="A9196"/>
  <c r="B9196"/>
  <c r="A9197"/>
  <c r="B9197"/>
  <c r="A9198"/>
  <c r="B9198"/>
  <c r="A9199"/>
  <c r="B9199"/>
  <c r="A9200"/>
  <c r="B9200"/>
  <c r="A9201"/>
  <c r="B9201"/>
  <c r="A9202"/>
  <c r="B9202"/>
  <c r="A9203"/>
  <c r="B9203"/>
  <c r="A9204"/>
  <c r="B9204"/>
  <c r="A9205"/>
  <c r="B9205"/>
  <c r="A9206"/>
  <c r="B9206"/>
  <c r="A9207"/>
  <c r="B9207"/>
  <c r="A9208"/>
  <c r="B9208"/>
  <c r="A9209"/>
  <c r="B9209"/>
  <c r="A9210"/>
  <c r="B9210"/>
  <c r="A9211"/>
  <c r="B9211"/>
  <c r="A9212"/>
  <c r="B9212"/>
  <c r="A9213"/>
  <c r="B9213"/>
  <c r="A9214"/>
  <c r="B9214"/>
  <c r="A9215"/>
  <c r="B9215"/>
  <c r="A9216"/>
  <c r="B9216"/>
  <c r="A9217"/>
  <c r="B9217"/>
  <c r="A9218"/>
  <c r="B9218"/>
  <c r="A9219"/>
  <c r="B9219"/>
  <c r="A9220"/>
  <c r="B9220"/>
  <c r="A9221"/>
  <c r="B9221"/>
  <c r="A9222"/>
  <c r="B9222"/>
  <c r="A9223"/>
  <c r="B9223"/>
  <c r="A9224"/>
  <c r="B9224"/>
  <c r="A9225"/>
  <c r="B9225"/>
  <c r="A9226"/>
  <c r="B9226"/>
  <c r="A9227"/>
  <c r="B9227"/>
  <c r="A9228"/>
  <c r="B9228"/>
  <c r="A9229"/>
  <c r="B9229"/>
  <c r="A9230"/>
  <c r="B9230"/>
  <c r="A9231"/>
  <c r="B9231"/>
  <c r="A9232"/>
  <c r="B9232"/>
  <c r="A9233"/>
  <c r="B9233"/>
  <c r="A9234"/>
  <c r="B9234"/>
  <c r="A9235"/>
  <c r="B9235"/>
  <c r="A9236"/>
  <c r="B9236"/>
  <c r="A9237"/>
  <c r="B9237"/>
  <c r="A9238"/>
  <c r="B9238"/>
  <c r="A9239"/>
  <c r="B9239"/>
  <c r="A9240"/>
  <c r="B9240"/>
  <c r="A9241"/>
  <c r="B9241"/>
  <c r="A9242"/>
  <c r="B9242"/>
  <c r="A9243"/>
  <c r="B9243"/>
  <c r="A9244"/>
  <c r="B9244"/>
  <c r="A9245"/>
  <c r="B9245"/>
  <c r="A9246"/>
  <c r="B9246"/>
  <c r="A9247"/>
  <c r="B9247"/>
  <c r="A9248"/>
  <c r="B9248"/>
  <c r="A9249"/>
  <c r="B9249"/>
  <c r="A9250"/>
  <c r="B9250"/>
  <c r="A9251"/>
  <c r="B9251"/>
  <c r="A9252"/>
  <c r="B9252"/>
  <c r="A9253"/>
  <c r="B9253"/>
  <c r="A9254"/>
  <c r="B9254"/>
  <c r="A9255"/>
  <c r="B9255"/>
  <c r="A9256"/>
  <c r="B9256"/>
  <c r="A9257"/>
  <c r="B9257"/>
  <c r="A9258"/>
  <c r="B9258"/>
  <c r="A9259"/>
  <c r="B9259"/>
  <c r="A9260"/>
  <c r="B9260"/>
  <c r="A9261"/>
  <c r="B9261"/>
  <c r="A9262"/>
  <c r="B9262"/>
  <c r="A9263"/>
  <c r="B9263"/>
  <c r="A9264"/>
  <c r="B9264"/>
  <c r="A9265"/>
  <c r="B9265"/>
  <c r="A9266"/>
  <c r="B9266"/>
  <c r="A9267"/>
  <c r="B9267"/>
  <c r="A9268"/>
  <c r="B9268"/>
  <c r="A9269"/>
  <c r="B9269"/>
  <c r="A9270"/>
  <c r="B9270"/>
  <c r="A9271"/>
  <c r="B9271"/>
  <c r="A9272"/>
  <c r="B9272"/>
  <c r="A9273"/>
  <c r="B9273"/>
  <c r="A9274"/>
  <c r="B9274"/>
  <c r="A9275"/>
  <c r="B9275"/>
  <c r="A9276"/>
  <c r="B9276"/>
  <c r="A9277"/>
  <c r="B9277"/>
  <c r="A9278"/>
  <c r="B9278"/>
  <c r="A9279"/>
  <c r="B9279"/>
  <c r="A9280"/>
  <c r="B9280"/>
  <c r="A9281"/>
  <c r="B9281"/>
  <c r="A9282"/>
  <c r="B9282"/>
  <c r="A9283"/>
  <c r="B9283"/>
  <c r="A9284"/>
  <c r="B9284"/>
  <c r="A9285"/>
  <c r="B9285"/>
  <c r="A9286"/>
  <c r="B9286"/>
  <c r="A9287"/>
  <c r="B9287"/>
  <c r="A9288"/>
  <c r="B9288"/>
  <c r="A9289"/>
  <c r="B9289"/>
  <c r="A9290"/>
  <c r="B9290"/>
  <c r="A9291"/>
  <c r="B9291"/>
  <c r="A9292"/>
  <c r="B9292"/>
  <c r="A9293"/>
  <c r="B9293"/>
  <c r="A9294"/>
  <c r="B9294"/>
  <c r="A9295"/>
  <c r="B9295"/>
  <c r="A9296"/>
  <c r="B9296"/>
  <c r="A9297"/>
  <c r="B9297"/>
  <c r="A9298"/>
  <c r="B9298"/>
  <c r="A9299"/>
  <c r="B9299"/>
  <c r="A9300"/>
  <c r="B9300"/>
  <c r="A9301"/>
  <c r="B9301"/>
  <c r="A9302"/>
  <c r="B9302"/>
  <c r="A9303"/>
  <c r="B9303"/>
  <c r="A9304"/>
  <c r="B9304"/>
  <c r="A9305"/>
  <c r="B9305"/>
  <c r="A9306"/>
  <c r="B9306"/>
  <c r="A9307"/>
  <c r="B9307"/>
  <c r="A9308"/>
  <c r="B9308"/>
  <c r="A9309"/>
  <c r="B9309"/>
  <c r="A9310"/>
  <c r="B9310"/>
  <c r="A9311"/>
  <c r="B9311"/>
  <c r="A9312"/>
  <c r="B9312"/>
  <c r="A9313"/>
  <c r="B9313"/>
  <c r="A9314"/>
  <c r="B9314"/>
  <c r="A9315"/>
  <c r="B9315"/>
  <c r="A9316"/>
  <c r="B9316"/>
  <c r="A9317"/>
  <c r="B9317"/>
  <c r="A9318"/>
  <c r="B9318"/>
  <c r="A9319"/>
  <c r="B9319"/>
  <c r="A9320"/>
  <c r="B9320"/>
  <c r="A9321"/>
  <c r="B9321"/>
  <c r="A9322"/>
  <c r="B9322"/>
  <c r="A9323"/>
  <c r="B9323"/>
  <c r="A9324"/>
  <c r="B9324"/>
  <c r="A9325"/>
  <c r="B9325"/>
  <c r="A9326"/>
  <c r="B9326"/>
  <c r="A9327"/>
  <c r="B9327"/>
  <c r="A9328"/>
  <c r="B9328"/>
  <c r="A9329"/>
  <c r="B9329"/>
  <c r="A9330"/>
  <c r="B9330"/>
  <c r="A9331"/>
  <c r="B9331"/>
  <c r="A9332"/>
  <c r="B9332"/>
  <c r="A9333"/>
  <c r="B9333"/>
  <c r="A9334"/>
  <c r="B9334"/>
  <c r="A9335"/>
  <c r="B9335"/>
  <c r="A9336"/>
  <c r="B9336"/>
  <c r="A9337"/>
  <c r="B9337"/>
  <c r="A9338"/>
  <c r="B9338"/>
  <c r="A9339"/>
  <c r="B9339"/>
  <c r="A9340"/>
  <c r="B9340"/>
  <c r="A9341"/>
  <c r="B9341"/>
  <c r="A9342"/>
  <c r="B9342"/>
  <c r="A9343"/>
  <c r="B9343"/>
  <c r="A9344"/>
  <c r="B9344"/>
  <c r="A9345"/>
  <c r="B9345"/>
  <c r="A9346"/>
  <c r="B9346"/>
  <c r="A9347"/>
  <c r="B9347"/>
  <c r="A9348"/>
  <c r="B9348"/>
  <c r="A9349"/>
  <c r="B9349"/>
  <c r="A9350"/>
  <c r="B9350"/>
  <c r="A9351"/>
  <c r="B9351"/>
  <c r="A9352"/>
  <c r="B9352"/>
  <c r="A9353"/>
  <c r="B9353"/>
  <c r="A9354"/>
  <c r="B9354"/>
  <c r="A9355"/>
  <c r="B9355"/>
  <c r="A9356"/>
  <c r="B9356"/>
  <c r="A9357"/>
  <c r="B9357"/>
  <c r="A9358"/>
  <c r="B9358"/>
  <c r="A9359"/>
  <c r="B9359"/>
  <c r="A9360"/>
  <c r="B9360"/>
  <c r="A9361"/>
  <c r="B9361"/>
  <c r="A9362"/>
  <c r="B9362"/>
  <c r="A9363"/>
  <c r="B9363"/>
  <c r="A9364"/>
  <c r="B9364"/>
  <c r="A9365"/>
  <c r="B9365"/>
  <c r="A9366"/>
  <c r="B9366"/>
  <c r="A9367"/>
  <c r="B9367"/>
  <c r="A9368"/>
  <c r="B9368"/>
  <c r="A9369"/>
  <c r="B9369"/>
  <c r="A9370"/>
  <c r="B9370"/>
  <c r="A9371"/>
  <c r="B9371"/>
  <c r="A9372"/>
  <c r="B9372"/>
  <c r="A9373"/>
  <c r="B9373"/>
  <c r="A9374"/>
  <c r="B9374"/>
  <c r="A9375"/>
  <c r="B9375"/>
  <c r="A9376"/>
  <c r="B9376"/>
  <c r="A9377"/>
  <c r="B9377"/>
  <c r="A9378"/>
  <c r="B9378"/>
  <c r="A9379"/>
  <c r="B9379"/>
  <c r="A9380"/>
  <c r="B9380"/>
  <c r="A9381"/>
  <c r="B9381"/>
  <c r="A9382"/>
  <c r="B9382"/>
  <c r="A9383"/>
  <c r="B9383"/>
  <c r="A9384"/>
  <c r="B9384"/>
  <c r="A9385"/>
  <c r="B9385"/>
  <c r="A9386"/>
  <c r="B9386"/>
  <c r="A9387"/>
  <c r="B9387"/>
  <c r="A9388"/>
  <c r="B9388"/>
  <c r="A9389"/>
  <c r="B9389"/>
  <c r="A9390"/>
  <c r="B9390"/>
  <c r="A9391"/>
  <c r="B9391"/>
  <c r="A9392"/>
  <c r="B9392"/>
  <c r="A9393"/>
  <c r="B9393"/>
  <c r="A9394"/>
  <c r="B9394"/>
  <c r="A9395"/>
  <c r="B9395"/>
  <c r="A9396"/>
  <c r="B9396"/>
  <c r="A9397"/>
  <c r="B9397"/>
  <c r="A9398"/>
  <c r="B9398"/>
  <c r="A9399"/>
  <c r="B9399"/>
  <c r="A9400"/>
  <c r="B9400"/>
  <c r="A9401"/>
  <c r="B9401"/>
  <c r="A9402"/>
  <c r="B9402"/>
  <c r="A9403"/>
  <c r="B9403"/>
  <c r="A9404"/>
  <c r="B9404"/>
  <c r="A9405"/>
  <c r="B9405"/>
  <c r="A9406"/>
  <c r="B9406"/>
  <c r="A9407"/>
  <c r="B9407"/>
  <c r="A9408"/>
  <c r="B9408"/>
  <c r="A9409"/>
  <c r="B9409"/>
  <c r="A9410"/>
  <c r="B9410"/>
  <c r="A9411"/>
  <c r="B9411"/>
  <c r="A9412"/>
  <c r="B9412"/>
  <c r="A9413"/>
  <c r="B9413"/>
  <c r="A9414"/>
  <c r="B9414"/>
  <c r="A9415"/>
  <c r="B9415"/>
  <c r="A9416"/>
  <c r="B9416"/>
  <c r="A9417"/>
  <c r="B9417"/>
  <c r="A9418"/>
  <c r="B9418"/>
  <c r="A9419"/>
  <c r="B9419"/>
  <c r="A9420"/>
  <c r="B9420"/>
  <c r="A9421"/>
  <c r="B9421"/>
  <c r="A9422"/>
  <c r="B9422"/>
  <c r="A9423"/>
  <c r="B9423"/>
  <c r="A9424"/>
  <c r="B9424"/>
  <c r="A9425"/>
  <c r="B9425"/>
  <c r="A9426"/>
  <c r="B9426"/>
  <c r="A9427"/>
  <c r="B9427"/>
  <c r="A9428"/>
  <c r="B9428"/>
  <c r="A9429"/>
  <c r="B9429"/>
  <c r="A9430"/>
  <c r="B9430"/>
  <c r="A9431"/>
  <c r="B9431"/>
  <c r="A9432"/>
  <c r="B9432"/>
  <c r="A9433"/>
  <c r="B9433"/>
  <c r="A9434"/>
  <c r="B9434"/>
  <c r="A9435"/>
  <c r="B9435"/>
  <c r="A9436"/>
  <c r="B9436"/>
  <c r="A9437"/>
  <c r="B9437"/>
  <c r="A9438"/>
  <c r="B9438"/>
  <c r="A9439"/>
  <c r="B9439"/>
  <c r="A9440"/>
  <c r="B9440"/>
  <c r="A9441"/>
  <c r="B9441"/>
  <c r="A9442"/>
  <c r="B9442"/>
  <c r="A9443"/>
  <c r="B9443"/>
  <c r="A9444"/>
  <c r="B9444"/>
  <c r="A9445"/>
  <c r="B9445"/>
  <c r="A9446"/>
  <c r="B9446"/>
  <c r="A9447"/>
  <c r="B9447"/>
  <c r="A9448"/>
  <c r="B9448"/>
  <c r="A9449"/>
  <c r="B9449"/>
  <c r="A9450"/>
  <c r="B9450"/>
  <c r="A9451"/>
  <c r="B9451"/>
  <c r="A9452"/>
  <c r="B9452"/>
  <c r="A9453"/>
  <c r="B9453"/>
  <c r="A9454"/>
  <c r="B9454"/>
  <c r="A9455"/>
  <c r="B9455"/>
  <c r="A9456"/>
  <c r="B9456"/>
  <c r="A9457"/>
  <c r="B9457"/>
  <c r="A9458"/>
  <c r="B9458"/>
  <c r="A9459"/>
  <c r="B9459"/>
  <c r="A9460"/>
  <c r="B9460"/>
  <c r="A9461"/>
  <c r="B9461"/>
  <c r="A9462"/>
  <c r="B9462"/>
  <c r="A9463"/>
  <c r="B9463"/>
  <c r="A9464"/>
  <c r="B9464"/>
  <c r="A9465"/>
  <c r="B9465"/>
  <c r="A9466"/>
  <c r="B9466"/>
  <c r="A9467"/>
  <c r="B9467"/>
  <c r="A9468"/>
  <c r="B9468"/>
  <c r="A9469"/>
  <c r="B9469"/>
  <c r="A9470"/>
  <c r="B9470"/>
  <c r="A9471"/>
  <c r="B9471"/>
  <c r="A9472"/>
  <c r="B9472"/>
  <c r="A9473"/>
  <c r="B9473"/>
  <c r="A9474"/>
  <c r="B9474"/>
  <c r="A9475"/>
  <c r="B9475"/>
  <c r="A9476"/>
  <c r="B9476"/>
  <c r="A9477"/>
  <c r="B9477"/>
  <c r="A9478"/>
  <c r="B9478"/>
  <c r="A9479"/>
  <c r="B9479"/>
  <c r="A9480"/>
  <c r="B9480"/>
  <c r="A9481"/>
  <c r="B9481"/>
  <c r="A9482"/>
  <c r="B9482"/>
  <c r="A9483"/>
  <c r="B9483"/>
  <c r="A9484"/>
  <c r="B9484"/>
  <c r="A9485"/>
  <c r="B9485"/>
  <c r="A9486"/>
  <c r="B9486"/>
  <c r="A9487"/>
  <c r="B9487"/>
  <c r="A9488"/>
  <c r="B9488"/>
  <c r="A9489"/>
  <c r="B9489"/>
  <c r="A9490"/>
  <c r="B9490"/>
  <c r="A9491"/>
  <c r="B9491"/>
  <c r="A9492"/>
  <c r="B9492"/>
  <c r="A9493"/>
  <c r="B9493"/>
  <c r="A9494"/>
  <c r="B9494"/>
  <c r="A9495"/>
  <c r="B9495"/>
  <c r="A9496"/>
  <c r="B9496"/>
  <c r="A9497"/>
  <c r="B9497"/>
  <c r="A9498"/>
  <c r="B9498"/>
  <c r="A9499"/>
  <c r="B9499"/>
  <c r="A9500"/>
  <c r="B9500"/>
  <c r="A9501"/>
  <c r="B9501"/>
  <c r="A9502"/>
  <c r="B9502"/>
  <c r="A9503"/>
  <c r="B9503"/>
  <c r="A9504"/>
  <c r="B9504"/>
  <c r="A9505"/>
  <c r="B9505"/>
  <c r="A9506"/>
  <c r="B9506"/>
  <c r="A9507"/>
  <c r="B9507"/>
  <c r="A9508"/>
  <c r="B9508"/>
  <c r="A9509"/>
  <c r="B9509"/>
  <c r="A9510"/>
  <c r="B9510"/>
  <c r="A9511"/>
  <c r="B9511"/>
  <c r="A9512"/>
  <c r="B9512"/>
  <c r="A9513"/>
  <c r="B9513"/>
  <c r="A9514"/>
  <c r="B9514"/>
  <c r="A9515"/>
  <c r="B9515"/>
  <c r="A9516"/>
  <c r="B9516"/>
  <c r="A9517"/>
  <c r="B9517"/>
  <c r="A9518"/>
  <c r="B9518"/>
  <c r="A9519"/>
  <c r="B9519"/>
  <c r="A9520"/>
  <c r="B9520"/>
  <c r="A9521"/>
  <c r="B9521"/>
  <c r="A9522"/>
  <c r="B9522"/>
  <c r="A9523"/>
  <c r="B9523"/>
  <c r="A9524"/>
  <c r="B9524"/>
  <c r="A9525"/>
  <c r="B9525"/>
  <c r="A9526"/>
  <c r="B9526"/>
  <c r="A9527"/>
  <c r="B9527"/>
  <c r="A9528"/>
  <c r="B9528"/>
  <c r="A9529"/>
  <c r="B9529"/>
  <c r="A9530"/>
  <c r="B9530"/>
  <c r="A9531"/>
  <c r="B9531"/>
  <c r="A9532"/>
  <c r="B9532"/>
  <c r="A9533"/>
  <c r="B9533"/>
  <c r="A9534"/>
  <c r="B9534"/>
  <c r="A9535"/>
  <c r="B9535"/>
  <c r="A9536"/>
  <c r="B9536"/>
  <c r="A9537"/>
  <c r="B9537"/>
  <c r="A9538"/>
  <c r="B9538"/>
  <c r="A9539"/>
  <c r="B9539"/>
  <c r="A9540"/>
  <c r="B9540"/>
  <c r="A9541"/>
  <c r="B9541"/>
  <c r="A9542"/>
  <c r="B9542"/>
  <c r="A9543"/>
  <c r="B9543"/>
  <c r="A9544"/>
  <c r="B9544"/>
  <c r="A9545"/>
  <c r="B9545"/>
  <c r="A9546"/>
  <c r="B9546"/>
  <c r="A9547"/>
  <c r="B9547"/>
  <c r="A9548"/>
  <c r="B9548"/>
  <c r="A9549"/>
  <c r="B9549"/>
  <c r="A9550"/>
  <c r="B9550"/>
  <c r="A9551"/>
  <c r="B9551"/>
  <c r="A9552"/>
  <c r="B9552"/>
  <c r="A9553"/>
  <c r="B9553"/>
  <c r="A9554"/>
  <c r="B9554"/>
  <c r="A9555"/>
  <c r="B9555"/>
  <c r="A9556"/>
  <c r="B9556"/>
  <c r="A9557"/>
  <c r="B9557"/>
  <c r="A9558"/>
  <c r="B9558"/>
  <c r="A9559"/>
  <c r="B9559"/>
  <c r="A9560"/>
  <c r="B9560"/>
  <c r="A9561"/>
  <c r="B9561"/>
  <c r="A9562"/>
  <c r="B9562"/>
  <c r="A9563"/>
  <c r="B9563"/>
  <c r="A9564"/>
  <c r="B9564"/>
  <c r="A9565"/>
  <c r="B9565"/>
  <c r="A9566"/>
  <c r="B9566"/>
  <c r="A9567"/>
  <c r="B9567"/>
  <c r="A9568"/>
  <c r="B9568"/>
  <c r="A9569"/>
  <c r="B9569"/>
  <c r="A9570"/>
  <c r="B9570"/>
  <c r="A9571"/>
  <c r="B9571"/>
  <c r="A9572"/>
  <c r="B9572"/>
  <c r="A9573"/>
  <c r="B9573"/>
  <c r="A9574"/>
  <c r="B9574"/>
  <c r="A9575"/>
  <c r="B9575"/>
  <c r="A9576"/>
  <c r="B9576"/>
  <c r="A9577"/>
  <c r="B9577"/>
  <c r="A9578"/>
  <c r="B9578"/>
  <c r="A9579"/>
  <c r="B9579"/>
  <c r="A9580"/>
  <c r="B9580"/>
  <c r="A9581"/>
  <c r="B9581"/>
  <c r="A9582"/>
  <c r="B9582"/>
  <c r="A9583"/>
  <c r="B9583"/>
  <c r="A9584"/>
  <c r="B9584"/>
  <c r="A9585"/>
  <c r="B9585"/>
  <c r="A9586"/>
  <c r="B9586"/>
  <c r="A9587"/>
  <c r="B9587"/>
  <c r="A9588"/>
  <c r="B9588"/>
  <c r="A9589"/>
  <c r="B9589"/>
  <c r="A9590"/>
  <c r="B9590"/>
  <c r="A9591"/>
  <c r="B9591"/>
  <c r="A9592"/>
  <c r="B9592"/>
  <c r="A9593"/>
  <c r="B9593"/>
  <c r="A9594"/>
  <c r="B9594"/>
  <c r="A9595"/>
  <c r="B9595"/>
  <c r="A9596"/>
  <c r="B9596"/>
  <c r="A9597"/>
  <c r="B9597"/>
  <c r="A9598"/>
  <c r="B9598"/>
  <c r="A9599"/>
  <c r="B9599"/>
  <c r="A9600"/>
  <c r="B9600"/>
  <c r="A9601"/>
  <c r="B9601"/>
  <c r="A9602"/>
  <c r="B9602"/>
  <c r="A9603"/>
  <c r="B9603"/>
  <c r="A9604"/>
  <c r="B9604"/>
  <c r="A9605"/>
  <c r="B9605"/>
  <c r="A9606"/>
  <c r="B9606"/>
  <c r="A9607"/>
  <c r="B9607"/>
  <c r="A9608"/>
  <c r="B9608"/>
  <c r="A9609"/>
  <c r="B9609"/>
  <c r="A9610"/>
  <c r="B9610"/>
  <c r="A9611"/>
  <c r="B9611"/>
  <c r="A9612"/>
  <c r="B9612"/>
  <c r="A9613"/>
  <c r="B9613"/>
  <c r="A9614"/>
  <c r="B9614"/>
  <c r="A9615"/>
  <c r="B9615"/>
  <c r="A9616"/>
  <c r="B9616"/>
  <c r="A9617"/>
  <c r="B9617"/>
  <c r="A9618"/>
  <c r="B9618"/>
  <c r="A9619"/>
  <c r="B9619"/>
  <c r="A9620"/>
  <c r="B9620"/>
  <c r="A9621"/>
  <c r="B9621"/>
  <c r="A9622"/>
  <c r="B9622"/>
  <c r="A9623"/>
  <c r="B9623"/>
  <c r="A9624"/>
  <c r="B9624"/>
  <c r="A9625"/>
  <c r="B9625"/>
  <c r="A9626"/>
  <c r="B9626"/>
  <c r="A9627"/>
  <c r="B9627"/>
  <c r="A9628"/>
  <c r="B9628"/>
  <c r="A9629"/>
  <c r="B9629"/>
  <c r="A9630"/>
  <c r="B9630"/>
  <c r="A9631"/>
  <c r="B9631"/>
  <c r="A9632"/>
  <c r="B9632"/>
  <c r="A9633"/>
  <c r="B9633"/>
  <c r="A9634"/>
  <c r="B9634"/>
  <c r="A9635"/>
  <c r="B9635"/>
  <c r="A9636"/>
  <c r="B9636"/>
  <c r="A9637"/>
  <c r="B9637"/>
  <c r="A9638"/>
  <c r="B9638"/>
  <c r="A9639"/>
  <c r="B9639"/>
  <c r="A9640"/>
  <c r="B9640"/>
  <c r="A9641"/>
  <c r="B9641"/>
  <c r="A9642"/>
  <c r="B9642"/>
  <c r="A9643"/>
  <c r="B9643"/>
  <c r="A9644"/>
  <c r="B9644"/>
  <c r="A9645"/>
  <c r="B9645"/>
  <c r="A9646"/>
  <c r="B9646"/>
  <c r="A9647"/>
  <c r="B9647"/>
  <c r="A9648"/>
  <c r="B9648"/>
  <c r="A9649"/>
  <c r="B9649"/>
  <c r="A9650"/>
  <c r="B9650"/>
  <c r="A9651"/>
  <c r="B9651"/>
  <c r="A9652"/>
  <c r="B9652"/>
  <c r="A9653"/>
  <c r="B9653"/>
  <c r="A9654"/>
  <c r="B9654"/>
  <c r="A9655"/>
  <c r="B9655"/>
  <c r="A9656"/>
  <c r="B9656"/>
  <c r="A9657"/>
  <c r="B9657"/>
  <c r="A9658"/>
  <c r="B9658"/>
  <c r="A9659"/>
  <c r="B9659"/>
  <c r="A9660"/>
  <c r="B9660"/>
  <c r="A9661"/>
  <c r="B9661"/>
  <c r="A9662"/>
  <c r="B9662"/>
  <c r="A9663"/>
  <c r="B9663"/>
  <c r="A9664"/>
  <c r="B9664"/>
  <c r="A9665"/>
  <c r="B9665"/>
  <c r="A9666"/>
  <c r="B9666"/>
  <c r="A9667"/>
  <c r="B9667"/>
  <c r="A9668"/>
  <c r="B9668"/>
  <c r="A9669"/>
  <c r="B9669"/>
  <c r="A9670"/>
  <c r="B9670"/>
  <c r="A9671"/>
  <c r="B9671"/>
  <c r="A9672"/>
  <c r="B9672"/>
  <c r="A9673"/>
  <c r="B9673"/>
  <c r="A9674"/>
  <c r="B9674"/>
  <c r="A9675"/>
  <c r="B9675"/>
  <c r="A9676"/>
  <c r="B9676"/>
  <c r="A9677"/>
  <c r="B9677"/>
  <c r="A9678"/>
  <c r="B9678"/>
  <c r="A9679"/>
  <c r="B9679"/>
  <c r="A9680"/>
  <c r="B9680"/>
  <c r="A9681"/>
  <c r="B9681"/>
  <c r="A9682"/>
  <c r="B9682"/>
  <c r="A9683"/>
  <c r="B9683"/>
  <c r="A9684"/>
  <c r="B9684"/>
  <c r="A9685"/>
  <c r="B9685"/>
  <c r="A9686"/>
  <c r="B9686"/>
  <c r="A9687"/>
  <c r="B9687"/>
  <c r="A9688"/>
  <c r="B9688"/>
  <c r="A9689"/>
  <c r="B9689"/>
  <c r="A9690"/>
  <c r="B9690"/>
  <c r="A9691"/>
  <c r="B9691"/>
  <c r="A9692"/>
  <c r="B9692"/>
  <c r="A9693"/>
  <c r="B9693"/>
  <c r="A9694"/>
  <c r="B9694"/>
  <c r="A9695"/>
  <c r="B9695"/>
  <c r="A9696"/>
  <c r="B9696"/>
  <c r="A9697"/>
  <c r="B9697"/>
  <c r="A9698"/>
  <c r="B9698"/>
  <c r="A9699"/>
  <c r="B9699"/>
  <c r="A9700"/>
  <c r="B9700"/>
  <c r="A9701"/>
  <c r="B9701"/>
  <c r="A9702"/>
  <c r="B9702"/>
  <c r="A9703"/>
  <c r="B9703"/>
  <c r="A9704"/>
  <c r="B9704"/>
  <c r="A9705"/>
  <c r="B9705"/>
  <c r="A9706"/>
  <c r="B9706"/>
  <c r="A9707"/>
  <c r="B9707"/>
  <c r="A9708"/>
  <c r="B9708"/>
  <c r="A9709"/>
  <c r="B9709"/>
  <c r="A9710"/>
  <c r="B9710"/>
  <c r="A9711"/>
  <c r="B9711"/>
  <c r="A9712"/>
  <c r="B9712"/>
  <c r="A9713"/>
  <c r="B9713"/>
  <c r="A9714"/>
  <c r="B9714"/>
  <c r="A9715"/>
  <c r="B9715"/>
  <c r="A9716"/>
  <c r="B9716"/>
  <c r="A9717"/>
  <c r="B9717"/>
  <c r="A9718"/>
  <c r="B9718"/>
  <c r="A9719"/>
  <c r="B9719"/>
  <c r="A9720"/>
  <c r="B9720"/>
  <c r="A9721"/>
  <c r="B9721"/>
  <c r="A9722"/>
  <c r="B9722"/>
  <c r="A9723"/>
  <c r="B9723"/>
  <c r="A9724"/>
  <c r="B9724"/>
  <c r="A9725"/>
  <c r="B9725"/>
  <c r="A9726"/>
  <c r="B9726"/>
  <c r="A9727"/>
  <c r="B9727"/>
  <c r="A9728"/>
  <c r="B9728"/>
  <c r="A9729"/>
  <c r="B9729"/>
  <c r="A9730"/>
  <c r="B9730"/>
  <c r="A9731"/>
  <c r="B9731"/>
  <c r="A9732"/>
  <c r="B9732"/>
  <c r="A9733"/>
  <c r="B9733"/>
  <c r="A9734"/>
  <c r="B9734"/>
  <c r="A9735"/>
  <c r="B9735"/>
  <c r="A9736"/>
  <c r="B9736"/>
  <c r="A9737"/>
  <c r="B9737"/>
  <c r="A9738"/>
  <c r="B9738"/>
  <c r="A9739"/>
  <c r="B9739"/>
  <c r="A9740"/>
  <c r="B9740"/>
  <c r="A9741"/>
  <c r="B9741"/>
  <c r="A9742"/>
  <c r="B9742"/>
  <c r="A9743"/>
  <c r="B9743"/>
  <c r="A9744"/>
  <c r="B9744"/>
  <c r="A9745"/>
  <c r="B9745"/>
  <c r="A9746"/>
  <c r="B9746"/>
  <c r="A9747"/>
  <c r="B9747"/>
  <c r="A9748"/>
  <c r="B9748"/>
  <c r="A9749"/>
  <c r="B9749"/>
  <c r="A9750"/>
  <c r="B9750"/>
  <c r="A9751"/>
  <c r="B9751"/>
  <c r="A9752"/>
  <c r="B9752"/>
  <c r="A9753"/>
  <c r="B9753"/>
  <c r="A9754"/>
  <c r="B9754"/>
  <c r="A9755"/>
  <c r="B9755"/>
  <c r="A9756"/>
  <c r="B9756"/>
  <c r="A9757"/>
  <c r="B9757"/>
  <c r="A9758"/>
  <c r="B9758"/>
  <c r="A9759"/>
  <c r="B9759"/>
  <c r="A9760"/>
  <c r="B9760"/>
  <c r="A9761"/>
  <c r="B9761"/>
  <c r="A9762"/>
  <c r="B9762"/>
  <c r="A9763"/>
  <c r="B9763"/>
  <c r="A9764"/>
  <c r="B9764"/>
  <c r="A9765"/>
  <c r="B9765"/>
  <c r="A9766"/>
  <c r="B9766"/>
  <c r="A9767"/>
  <c r="B9767"/>
  <c r="A9768"/>
  <c r="B9768"/>
  <c r="A9769"/>
  <c r="B9769"/>
  <c r="A9770"/>
  <c r="B9770"/>
  <c r="A9771"/>
  <c r="B9771"/>
  <c r="A9772"/>
  <c r="B9772"/>
  <c r="A9773"/>
  <c r="B9773"/>
  <c r="A9774"/>
  <c r="B9774"/>
  <c r="A9775"/>
  <c r="B9775"/>
  <c r="A9776"/>
  <c r="B9776"/>
  <c r="A9777"/>
  <c r="B9777"/>
  <c r="A9778"/>
  <c r="B9778"/>
  <c r="A9779"/>
  <c r="B9779"/>
  <c r="A9780"/>
  <c r="B9780"/>
  <c r="A9781"/>
  <c r="B9781"/>
  <c r="A9782"/>
  <c r="B9782"/>
  <c r="A9783"/>
  <c r="B9783"/>
  <c r="A9784"/>
  <c r="B9784"/>
  <c r="A9785"/>
  <c r="B9785"/>
  <c r="A9786"/>
  <c r="B9786"/>
  <c r="A9787"/>
  <c r="B9787"/>
  <c r="A9788"/>
  <c r="B9788"/>
  <c r="A9789"/>
  <c r="B9789"/>
  <c r="A9790"/>
  <c r="B9790"/>
  <c r="A9791"/>
  <c r="B9791"/>
  <c r="A9792"/>
  <c r="B9792"/>
  <c r="A9793"/>
  <c r="B9793"/>
  <c r="A9794"/>
  <c r="B9794"/>
  <c r="A9795"/>
  <c r="B9795"/>
  <c r="A9796"/>
  <c r="B9796"/>
  <c r="A9797"/>
  <c r="B9797"/>
  <c r="A9798"/>
  <c r="B9798"/>
  <c r="A9799"/>
  <c r="B9799"/>
  <c r="A9800"/>
  <c r="B9800"/>
  <c r="A9801"/>
  <c r="B9801"/>
  <c r="A9802"/>
  <c r="B9802"/>
  <c r="A9803"/>
  <c r="B9803"/>
  <c r="A9804"/>
  <c r="B9804"/>
  <c r="A9805"/>
  <c r="B9805"/>
  <c r="A9806"/>
  <c r="B9806"/>
  <c r="A9807"/>
  <c r="B9807"/>
  <c r="A9808"/>
  <c r="B9808"/>
  <c r="A9809"/>
  <c r="B9809"/>
  <c r="A9810"/>
  <c r="B9810"/>
  <c r="A9811"/>
  <c r="B9811"/>
  <c r="A9812"/>
  <c r="B9812"/>
  <c r="A9813"/>
  <c r="B9813"/>
  <c r="A9814"/>
  <c r="B9814"/>
  <c r="A9815"/>
  <c r="B9815"/>
  <c r="A9816"/>
  <c r="B9816"/>
  <c r="A9817"/>
  <c r="B9817"/>
  <c r="A9818"/>
  <c r="B9818"/>
  <c r="A9819"/>
  <c r="B9819"/>
  <c r="A9820"/>
  <c r="B9820"/>
  <c r="A9821"/>
  <c r="B9821"/>
  <c r="A9822"/>
  <c r="B9822"/>
  <c r="A9823"/>
  <c r="B9823"/>
  <c r="A9824"/>
  <c r="B9824"/>
  <c r="A9825"/>
  <c r="B9825"/>
  <c r="A9826"/>
  <c r="B9826"/>
  <c r="A9827"/>
  <c r="B9827"/>
  <c r="A9828"/>
  <c r="B9828"/>
  <c r="A9829"/>
  <c r="B9829"/>
  <c r="A9830"/>
  <c r="B9830"/>
  <c r="A9831"/>
  <c r="B9831"/>
  <c r="A9832"/>
  <c r="B9832"/>
  <c r="A9833"/>
  <c r="B9833"/>
  <c r="A9834"/>
  <c r="B9834"/>
  <c r="A9835"/>
  <c r="B9835"/>
  <c r="A9836"/>
  <c r="B9836"/>
  <c r="A9837"/>
  <c r="B9837"/>
  <c r="A9838"/>
  <c r="B9838"/>
  <c r="A9839"/>
  <c r="B9839"/>
  <c r="A9840"/>
  <c r="B9840"/>
  <c r="A9841"/>
  <c r="B9841"/>
  <c r="A9842"/>
  <c r="B9842"/>
  <c r="A9843"/>
  <c r="B9843"/>
  <c r="A9844"/>
  <c r="B9844"/>
  <c r="A9845"/>
  <c r="B9845"/>
  <c r="A9846"/>
  <c r="B9846"/>
</calcChain>
</file>

<file path=xl/sharedStrings.xml><?xml version="1.0" encoding="utf-8"?>
<sst xmlns="http://schemas.openxmlformats.org/spreadsheetml/2006/main" count="4" uniqueCount="4">
  <si>
    <t>Индекс</t>
  </si>
  <si>
    <t>Наименование</t>
  </si>
  <si>
    <t>Кол</t>
  </si>
  <si>
    <t>Цена_Руб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</si>
</sst>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846"/>
  <sheetViews>
    <sheetView tabSelected="1" workbookViewId="0">
      <selection activeCell="A2" sqref="A2:XFD10"/>
    </sheetView>
  </sheetViews>
  <sheetFormatPr defaultRowHeight="15"/>
  <cols>
    <col min="4" max="4" width="12.71093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tr">
        <f>"01125-S212E"</f>
        <v>01125-S212E</v>
      </c>
      <c r="B2" t="str">
        <f>"Болт крепежный"</f>
        <v>Болт крепежный</v>
      </c>
      <c r="C2">
        <v>0</v>
      </c>
      <c r="D2">
        <v>343.12799999999999</v>
      </c>
    </row>
    <row r="3" spans="1:4">
      <c r="A3" t="str">
        <f>"01125-S218E"</f>
        <v>01125-S218E</v>
      </c>
      <c r="B3" t="str">
        <f>"Болт крепежный"</f>
        <v>Болт крепежный</v>
      </c>
      <c r="C3">
        <v>0</v>
      </c>
      <c r="D3">
        <v>124.032</v>
      </c>
    </row>
    <row r="4" spans="1:4">
      <c r="A4" t="str">
        <f>"01125-S219E"</f>
        <v>01125-S219E</v>
      </c>
      <c r="B4" t="str">
        <f>"Болт крепежный"</f>
        <v>Болт крепежный</v>
      </c>
      <c r="C4">
        <v>18</v>
      </c>
      <c r="D4">
        <v>180.744</v>
      </c>
    </row>
    <row r="5" spans="1:4">
      <c r="A5" t="str">
        <f>"01125-S616E"</f>
        <v>01125-S616E</v>
      </c>
      <c r="B5" t="str">
        <f>"Болт крепления кронш"</f>
        <v>Болт крепления кронш</v>
      </c>
      <c r="C5">
        <v>37</v>
      </c>
      <c r="D5">
        <v>40.799999999999997</v>
      </c>
    </row>
    <row r="6" spans="1:4">
      <c r="A6" t="str">
        <f>"01151-00271"</f>
        <v>01151-00271</v>
      </c>
      <c r="B6" t="str">
        <f>"Шпилька муфты мо"</f>
        <v>Шпилька муфты мо</v>
      </c>
      <c r="C6">
        <v>0</v>
      </c>
      <c r="D6">
        <v>32.64</v>
      </c>
    </row>
    <row r="7" spans="1:4">
      <c r="A7" t="str">
        <f>"01221-00Q0D"</f>
        <v>01221-00Q0D</v>
      </c>
      <c r="B7" t="str">
        <f>"Клипса крепежная"</f>
        <v>Клипса крепежная</v>
      </c>
      <c r="C7">
        <v>1</v>
      </c>
      <c r="D7">
        <v>45.695999999999998</v>
      </c>
    </row>
    <row r="8" spans="1:4">
      <c r="A8" t="str">
        <f>"01223-00291"</f>
        <v>01223-00291</v>
      </c>
      <c r="B8" t="str">
        <f>"NUT"</f>
        <v>NUT</v>
      </c>
      <c r="C8">
        <v>1</v>
      </c>
      <c r="D8">
        <v>31.823999999999998</v>
      </c>
    </row>
    <row r="9" spans="1:4">
      <c r="A9" t="str">
        <f>"01223-S203E"</f>
        <v>01223-S203E</v>
      </c>
      <c r="B9" t="str">
        <f>"Гайка крепления рыча"</f>
        <v>Гайка крепления рыча</v>
      </c>
      <c r="C9">
        <v>0</v>
      </c>
      <c r="D9">
        <v>50.183999999999997</v>
      </c>
    </row>
    <row r="10" spans="1:4">
      <c r="A10" t="str">
        <f>"01225-00082"</f>
        <v>01225-00082</v>
      </c>
      <c r="B10" t="str">
        <f>"NUT-BODY MOUNTG"</f>
        <v>NUT-BODY MOUNTG</v>
      </c>
      <c r="C10">
        <v>16</v>
      </c>
      <c r="D10">
        <v>30.192</v>
      </c>
    </row>
    <row r="11" spans="1:4">
      <c r="A11" t="str">
        <f>"01225-00202"</f>
        <v>01225-00202</v>
      </c>
      <c r="B11" t="str">
        <f>"NUT-FLG M10"</f>
        <v>NUT-FLG M10</v>
      </c>
      <c r="C11">
        <v>76</v>
      </c>
      <c r="D11">
        <v>31.823999999999998</v>
      </c>
    </row>
    <row r="12" spans="1:4">
      <c r="A12" t="str">
        <f>"01225-00491"</f>
        <v>01225-00491</v>
      </c>
      <c r="B12" t="str">
        <f>"NUT-ARM PIN"</f>
        <v>NUT-ARM PIN</v>
      </c>
      <c r="C12">
        <v>21</v>
      </c>
      <c r="D12">
        <v>68.135999999999996</v>
      </c>
    </row>
    <row r="13" spans="1:4">
      <c r="A13" t="str">
        <f>"01225-00521"</f>
        <v>01225-00521</v>
      </c>
      <c r="B13" t="str">
        <f>"Гайка крепежная"</f>
        <v>Гайка крепежная</v>
      </c>
      <c r="C13">
        <v>0</v>
      </c>
      <c r="D13">
        <v>54.263999999999996</v>
      </c>
    </row>
    <row r="14" spans="1:4">
      <c r="A14" t="str">
        <f>"01225-00581"</f>
        <v>01225-00581</v>
      </c>
      <c r="B14" t="str">
        <f>"NUT"</f>
        <v>NUT</v>
      </c>
      <c r="C14">
        <v>18</v>
      </c>
      <c r="D14">
        <v>89.759999999999991</v>
      </c>
    </row>
    <row r="15" spans="1:4">
      <c r="A15" t="str">
        <f>"01225-00651"</f>
        <v>01225-00651</v>
      </c>
      <c r="B15" t="str">
        <f>"NUT"</f>
        <v>NUT</v>
      </c>
      <c r="C15">
        <v>0</v>
      </c>
      <c r="D15">
        <v>56.711999999999996</v>
      </c>
    </row>
    <row r="16" spans="1:4">
      <c r="A16" t="str">
        <f>"01225-N0011"</f>
        <v>01225-N0011</v>
      </c>
      <c r="B16" t="str">
        <f>"Гайка крепления рыча"</f>
        <v>Гайка крепления рыча</v>
      </c>
      <c r="C16">
        <v>0</v>
      </c>
      <c r="D16">
        <v>40.799999999999997</v>
      </c>
    </row>
    <row r="17" spans="1:4">
      <c r="A17" t="str">
        <f>"01241-00173"</f>
        <v>01241-00173</v>
      </c>
      <c r="B17" t="str">
        <f>"NUT"</f>
        <v>NUT</v>
      </c>
      <c r="C17">
        <v>8</v>
      </c>
      <c r="D17">
        <v>25.295999999999996</v>
      </c>
    </row>
    <row r="18" spans="1:4">
      <c r="A18" t="str">
        <f>"01241-00971-NB"</f>
        <v>01241-00971-NB</v>
      </c>
      <c r="B18" t="str">
        <f>"NUT SPRING"</f>
        <v>NUT SPRING</v>
      </c>
      <c r="C18">
        <v>685</v>
      </c>
      <c r="D18">
        <v>30.192</v>
      </c>
    </row>
    <row r="19" spans="1:4">
      <c r="A19" t="str">
        <f>"01241-01051"</f>
        <v>01241-01051</v>
      </c>
      <c r="B19" t="str">
        <f>"NUT-SPRING"</f>
        <v>NUT-SPRING</v>
      </c>
      <c r="C19">
        <v>18</v>
      </c>
      <c r="D19">
        <v>37.128</v>
      </c>
    </row>
    <row r="20" spans="1:4">
      <c r="A20" t="str">
        <f>"01241-01131"</f>
        <v>01241-01131</v>
      </c>
      <c r="B20" t="str">
        <f>"Гайка кронштейна"</f>
        <v>Гайка кронштейна</v>
      </c>
      <c r="C20">
        <v>30</v>
      </c>
      <c r="D20">
        <v>29.783999999999999</v>
      </c>
    </row>
    <row r="21" spans="1:4">
      <c r="A21" t="str">
        <f>"01281-00111"</f>
        <v>01281-00111</v>
      </c>
      <c r="B21" t="str">
        <f>"GROMMET-SCREW"</f>
        <v>GROMMET-SCREW</v>
      </c>
      <c r="C21">
        <v>4</v>
      </c>
      <c r="D21">
        <v>35.087999999999994</v>
      </c>
    </row>
    <row r="22" spans="1:4">
      <c r="A22" t="str">
        <f>"01281-00711"</f>
        <v>01281-00711</v>
      </c>
      <c r="B22" t="str">
        <f>"GROMMET-SCREW"</f>
        <v>GROMMET-SCREW</v>
      </c>
      <c r="C22">
        <v>10</v>
      </c>
      <c r="D22">
        <v>30.599999999999998</v>
      </c>
    </row>
    <row r="23" spans="1:4">
      <c r="A23" t="str">
        <f>"01281-00801"</f>
        <v>01281-00801</v>
      </c>
      <c r="B23" t="str">
        <f>"GROMMET-SCREW"</f>
        <v>GROMMET-SCREW</v>
      </c>
      <c r="C23">
        <v>44</v>
      </c>
      <c r="D23">
        <v>46.511999999999993</v>
      </c>
    </row>
    <row r="24" spans="1:4">
      <c r="A24" t="str">
        <f>"01281-01081"</f>
        <v>01281-01081</v>
      </c>
      <c r="B24" t="str">
        <f>"GROMMET-SCREW"</f>
        <v>GROMMET-SCREW</v>
      </c>
      <c r="C24">
        <v>0</v>
      </c>
      <c r="D24">
        <v>35.087999999999994</v>
      </c>
    </row>
    <row r="25" spans="1:4">
      <c r="A25" t="str">
        <f>"01281-95F0A"</f>
        <v>01281-95F0A</v>
      </c>
      <c r="B25" t="str">
        <f>"Фиксатор саморез"</f>
        <v>Фиксатор саморез</v>
      </c>
      <c r="C25">
        <v>29</v>
      </c>
      <c r="D25">
        <v>26.52</v>
      </c>
    </row>
    <row r="26" spans="1:4">
      <c r="A26" t="str">
        <f>"01351-1204M"</f>
        <v>01351-1204M</v>
      </c>
      <c r="B26" t="str">
        <f>"GASKET-EYE BOLT"</f>
        <v>GASKET-EYE BOLT</v>
      </c>
      <c r="C26">
        <v>165</v>
      </c>
      <c r="D26">
        <v>29.375999999999998</v>
      </c>
    </row>
    <row r="27" spans="1:4">
      <c r="A27" t="str">
        <f>"01411-S201E"</f>
        <v>01411-S201E</v>
      </c>
      <c r="B27" t="str">
        <f>"SCREW"</f>
        <v>SCREW</v>
      </c>
      <c r="C27">
        <v>6</v>
      </c>
      <c r="D27">
        <v>26.52</v>
      </c>
    </row>
    <row r="28" spans="1:4">
      <c r="A28" t="str">
        <f>"01414-00051"</f>
        <v>01414-00051</v>
      </c>
      <c r="B28" t="str">
        <f>"SCREW"</f>
        <v>SCREW</v>
      </c>
      <c r="C28">
        <v>18</v>
      </c>
      <c r="D28">
        <v>27.336000000000002</v>
      </c>
    </row>
    <row r="29" spans="1:4">
      <c r="A29" t="str">
        <f>"01451-00581"</f>
        <v>01451-00581</v>
      </c>
      <c r="B29" t="str">
        <f>"SCREW"</f>
        <v>SCREW</v>
      </c>
      <c r="C29">
        <v>25</v>
      </c>
      <c r="D29">
        <v>28.152000000000001</v>
      </c>
    </row>
    <row r="30" spans="1:4">
      <c r="A30" t="str">
        <f>"01451-00841"</f>
        <v>01451-00841</v>
      </c>
      <c r="B30" t="str">
        <f>"SCREW"</f>
        <v>SCREW</v>
      </c>
      <c r="C30">
        <v>21</v>
      </c>
      <c r="D30">
        <v>47.327999999999996</v>
      </c>
    </row>
    <row r="31" spans="1:4">
      <c r="A31" t="str">
        <f>"01454-00025"</f>
        <v>01454-00025</v>
      </c>
      <c r="B31" t="str">
        <f>"SCREW"</f>
        <v>SCREW</v>
      </c>
      <c r="C31">
        <v>13</v>
      </c>
      <c r="D31">
        <v>71.399999999999991</v>
      </c>
    </row>
    <row r="32" spans="1:4">
      <c r="A32" t="str">
        <f>"01454-00035"</f>
        <v>01454-00035</v>
      </c>
      <c r="B32" t="str">
        <f>"SCREW TAPP"</f>
        <v>SCREW TAPP</v>
      </c>
      <c r="C32">
        <v>22</v>
      </c>
      <c r="D32">
        <v>48.552</v>
      </c>
    </row>
    <row r="33" spans="1:4">
      <c r="A33" t="str">
        <f>"01454-N5061"</f>
        <v>01454-N5061</v>
      </c>
      <c r="B33" t="str">
        <f>"Саморез крепежны"</f>
        <v>Саморез крепежны</v>
      </c>
      <c r="C33">
        <v>11</v>
      </c>
      <c r="D33">
        <v>34.68</v>
      </c>
    </row>
    <row r="34" spans="1:4">
      <c r="A34" t="str">
        <f>"01456-00691"</f>
        <v>01456-00691</v>
      </c>
      <c r="B34" t="str">
        <f>"SCREW"</f>
        <v>SCREW</v>
      </c>
      <c r="C34">
        <v>0</v>
      </c>
      <c r="D34">
        <v>36.72</v>
      </c>
    </row>
    <row r="35" spans="1:4">
      <c r="A35" t="str">
        <f>"01456-S609E"</f>
        <v>01456-S609E</v>
      </c>
      <c r="B35" t="str">
        <f>"Болт крепежный"</f>
        <v>Болт крепежный</v>
      </c>
      <c r="C35">
        <v>10</v>
      </c>
      <c r="D35">
        <v>20.808</v>
      </c>
    </row>
    <row r="36" spans="1:4">
      <c r="A36" t="str">
        <f>"01461-00951"</f>
        <v>01461-00951</v>
      </c>
      <c r="B36" t="str">
        <f>"SCREW"</f>
        <v>SCREW</v>
      </c>
      <c r="C36">
        <v>3</v>
      </c>
      <c r="D36">
        <v>40.799999999999997</v>
      </c>
    </row>
    <row r="37" spans="1:4">
      <c r="A37" t="str">
        <f>"01461-00991"</f>
        <v>01461-00991</v>
      </c>
      <c r="B37" t="str">
        <f>"SCREW TAPP"</f>
        <v>SCREW TAPP</v>
      </c>
      <c r="C37">
        <v>10</v>
      </c>
      <c r="D37">
        <v>30.599999999999998</v>
      </c>
    </row>
    <row r="38" spans="1:4">
      <c r="A38" t="str">
        <f>"01461-00QAD"</f>
        <v>01461-00QAD</v>
      </c>
      <c r="B38" t="str">
        <f>"CLIP"</f>
        <v>CLIP</v>
      </c>
      <c r="C38">
        <v>4</v>
      </c>
      <c r="D38">
        <v>53.04</v>
      </c>
    </row>
    <row r="39" spans="1:4">
      <c r="A39" t="str">
        <f>"01461-95F0F"</f>
        <v>01461-95F0F</v>
      </c>
      <c r="B39" t="str">
        <f>"Болт крепежный"</f>
        <v>Болт крепежный</v>
      </c>
      <c r="C39">
        <v>10</v>
      </c>
      <c r="D39">
        <v>31.415999999999997</v>
      </c>
    </row>
    <row r="40" spans="1:4">
      <c r="A40" t="str">
        <f>"01466-00022"</f>
        <v>01466-00022</v>
      </c>
      <c r="B40" t="str">
        <f>"SCREW"</f>
        <v>SCREW</v>
      </c>
      <c r="C40">
        <v>13</v>
      </c>
      <c r="D40">
        <v>26.112000000000002</v>
      </c>
    </row>
    <row r="41" spans="1:4">
      <c r="A41" t="str">
        <f>"01466-00261"</f>
        <v>01466-00261</v>
      </c>
      <c r="B41" t="str">
        <f>"SCREW"</f>
        <v>SCREW</v>
      </c>
      <c r="C41">
        <v>15</v>
      </c>
      <c r="D41">
        <v>26.112000000000002</v>
      </c>
    </row>
    <row r="42" spans="1:4">
      <c r="A42" t="str">
        <f>"01466-00321"</f>
        <v>01466-00321</v>
      </c>
      <c r="B42" t="str">
        <f>"SCREW TAPP"</f>
        <v>SCREW TAPP</v>
      </c>
      <c r="C42">
        <v>0</v>
      </c>
      <c r="D42">
        <v>28.152000000000001</v>
      </c>
    </row>
    <row r="43" spans="1:4">
      <c r="A43" t="str">
        <f>"01515-0009U"</f>
        <v>01515-0009U</v>
      </c>
      <c r="B43" t="str">
        <f>"Пистон крепежный"</f>
        <v>Пистон крепежный</v>
      </c>
      <c r="C43">
        <v>75</v>
      </c>
      <c r="D43">
        <v>57.936</v>
      </c>
    </row>
    <row r="44" spans="1:4">
      <c r="A44" t="str">
        <f>"01515-00Q0C"</f>
        <v>01515-00Q0C</v>
      </c>
      <c r="B44" t="str">
        <f>"Пистон бампера"</f>
        <v>Пистон бампера</v>
      </c>
      <c r="C44">
        <v>213</v>
      </c>
      <c r="D44">
        <v>38.351999999999997</v>
      </c>
    </row>
    <row r="45" spans="1:4">
      <c r="A45" t="str">
        <f>"01515-95F0A"</f>
        <v>01515-95F0A</v>
      </c>
      <c r="B45" t="str">
        <f>"Пистон бампера"</f>
        <v>Пистон бампера</v>
      </c>
      <c r="C45">
        <v>34</v>
      </c>
      <c r="D45">
        <v>164.42400000000001</v>
      </c>
    </row>
    <row r="46" spans="1:4">
      <c r="A46" t="str">
        <f>"01553-0034U"</f>
        <v>01553-0034U</v>
      </c>
      <c r="B46" t="str">
        <f>"Пистон пластиков"</f>
        <v>Пистон пластиков</v>
      </c>
      <c r="C46">
        <v>5</v>
      </c>
      <c r="D46">
        <v>31.823999999999998</v>
      </c>
    </row>
    <row r="47" spans="1:4">
      <c r="A47" t="str">
        <f>"01553-0110U"</f>
        <v>01553-0110U</v>
      </c>
      <c r="B47" t="str">
        <f>"Пистон кузовной пане"</f>
        <v>Пистон кузовной пане</v>
      </c>
      <c r="C47">
        <v>15</v>
      </c>
      <c r="D47">
        <v>63.24</v>
      </c>
    </row>
    <row r="48" spans="1:4">
      <c r="A48" t="str">
        <f>"01553-01A50"</f>
        <v>01553-01A50</v>
      </c>
      <c r="B48" t="str">
        <f>"CLIP"</f>
        <v>CLIP</v>
      </c>
      <c r="C48">
        <v>27</v>
      </c>
      <c r="D48">
        <v>16.727999999999998</v>
      </c>
    </row>
    <row r="49" spans="1:4">
      <c r="A49" t="str">
        <f>"01553-02903"</f>
        <v>01553-02903</v>
      </c>
      <c r="B49" t="str">
        <f>"CLIP"</f>
        <v>CLIP</v>
      </c>
      <c r="C49">
        <v>0</v>
      </c>
      <c r="D49">
        <v>19.584</v>
      </c>
    </row>
    <row r="50" spans="1:4">
      <c r="A50" t="str">
        <f>"01553-02913"</f>
        <v>01553-02913</v>
      </c>
      <c r="B50" t="str">
        <f>"CLIP"</f>
        <v>CLIP</v>
      </c>
      <c r="C50">
        <v>54</v>
      </c>
      <c r="D50">
        <v>45.288000000000004</v>
      </c>
    </row>
    <row r="51" spans="1:4">
      <c r="A51" t="str">
        <f>"01553-02923"</f>
        <v>01553-02923</v>
      </c>
      <c r="B51" t="str">
        <f>"CLIP"</f>
        <v>CLIP</v>
      </c>
      <c r="C51">
        <v>11</v>
      </c>
      <c r="D51">
        <v>30.192</v>
      </c>
    </row>
    <row r="52" spans="1:4">
      <c r="A52" t="str">
        <f>"01553-03123"</f>
        <v>01553-03123</v>
      </c>
      <c r="B52" t="str">
        <f>"CANOE RIVET"</f>
        <v>CANOE RIVET</v>
      </c>
      <c r="C52">
        <v>16</v>
      </c>
      <c r="D52">
        <v>57.527999999999999</v>
      </c>
    </row>
    <row r="53" spans="1:4">
      <c r="A53" t="str">
        <f>"01553-03613"</f>
        <v>01553-03613</v>
      </c>
      <c r="B53" t="str">
        <f>"CLIP"</f>
        <v>CLIP</v>
      </c>
      <c r="C53">
        <v>23</v>
      </c>
      <c r="D53">
        <v>29.783999999999999</v>
      </c>
    </row>
    <row r="54" spans="1:4">
      <c r="A54" t="str">
        <f>"01553-03831"</f>
        <v>01553-03831</v>
      </c>
      <c r="B54" t="str">
        <f>"CLIP"</f>
        <v>CLIP</v>
      </c>
      <c r="C54">
        <v>5</v>
      </c>
      <c r="D54">
        <v>48.959999999999994</v>
      </c>
    </row>
    <row r="55" spans="1:4">
      <c r="A55" t="str">
        <f>"01553-04941"</f>
        <v>01553-04941</v>
      </c>
      <c r="B55" t="str">
        <f>"CLIP"</f>
        <v>CLIP</v>
      </c>
      <c r="C55">
        <v>1</v>
      </c>
      <c r="D55">
        <v>14.28</v>
      </c>
    </row>
    <row r="56" spans="1:4">
      <c r="A56" t="str">
        <f>"01553-05131"</f>
        <v>01553-05131</v>
      </c>
      <c r="B56" t="str">
        <f>"CLIP-BLOWER INS"</f>
        <v>CLIP-BLOWER INS</v>
      </c>
      <c r="C56">
        <v>5</v>
      </c>
      <c r="D56">
        <v>36.72</v>
      </c>
    </row>
    <row r="57" spans="1:4">
      <c r="A57" t="str">
        <f>"01553-05323"</f>
        <v>01553-05323</v>
      </c>
      <c r="B57" t="str">
        <f>"CLIP"</f>
        <v>CLIP</v>
      </c>
      <c r="C57">
        <v>60</v>
      </c>
      <c r="D57">
        <v>28.968</v>
      </c>
    </row>
    <row r="58" spans="1:4">
      <c r="A58" t="str">
        <f>"01553-06461"</f>
        <v>01553-06461</v>
      </c>
      <c r="B58" t="str">
        <f>"CLIP"</f>
        <v>CLIP</v>
      </c>
      <c r="C58">
        <v>30</v>
      </c>
      <c r="D58">
        <v>36.72</v>
      </c>
    </row>
    <row r="59" spans="1:4">
      <c r="A59" t="str">
        <f>"01553-06501"</f>
        <v>01553-06501</v>
      </c>
      <c r="B59" t="str">
        <f>"CLIP-TRUNK RR"</f>
        <v>CLIP-TRUNK RR</v>
      </c>
      <c r="C59">
        <v>33</v>
      </c>
      <c r="D59">
        <v>63.647999999999996</v>
      </c>
    </row>
    <row r="60" spans="1:4">
      <c r="A60" t="str">
        <f>"01553-07111"</f>
        <v>01553-07111</v>
      </c>
      <c r="B60" t="str">
        <f>"CLIP"</f>
        <v>CLIP</v>
      </c>
      <c r="C60">
        <v>35</v>
      </c>
      <c r="D60">
        <v>45.695999999999998</v>
      </c>
    </row>
    <row r="61" spans="1:4">
      <c r="A61" t="str">
        <f>"01553-08231"</f>
        <v>01553-08231</v>
      </c>
      <c r="B61" t="str">
        <f>"CLIP"</f>
        <v>CLIP</v>
      </c>
      <c r="C61">
        <v>0</v>
      </c>
      <c r="D61">
        <v>34.271999999999998</v>
      </c>
    </row>
    <row r="62" spans="1:4">
      <c r="A62" t="str">
        <f>"01553-08541"</f>
        <v>01553-08541</v>
      </c>
      <c r="B62" t="str">
        <f>"CLIP-TRIM"</f>
        <v>CLIP-TRIM</v>
      </c>
      <c r="C62">
        <v>10</v>
      </c>
      <c r="D62">
        <v>23.663999999999998</v>
      </c>
    </row>
    <row r="63" spans="1:4">
      <c r="A63" t="str">
        <f>"01553-09021"</f>
        <v>01553-09021</v>
      </c>
      <c r="B63" t="str">
        <f>"CLIP-FINISHER"</f>
        <v>CLIP-FINISHER</v>
      </c>
      <c r="C63">
        <v>11</v>
      </c>
      <c r="D63">
        <v>34.271999999999998</v>
      </c>
    </row>
    <row r="64" spans="1:4">
      <c r="A64" t="str">
        <f>"01553-09061"</f>
        <v>01553-09061</v>
      </c>
      <c r="B64" t="str">
        <f>"CLIP-TRIM"</f>
        <v>CLIP-TRIM</v>
      </c>
      <c r="C64">
        <v>35</v>
      </c>
      <c r="D64">
        <v>40.799999999999997</v>
      </c>
    </row>
    <row r="65" spans="1:4">
      <c r="A65" t="str">
        <f>"01553-09241"</f>
        <v>01553-09241</v>
      </c>
      <c r="B65" t="str">
        <f>"CLIP"</f>
        <v>CLIP</v>
      </c>
      <c r="C65">
        <v>108</v>
      </c>
      <c r="D65">
        <v>54.263999999999996</v>
      </c>
    </row>
    <row r="66" spans="1:4">
      <c r="A66" t="str">
        <f>"01553-09321"</f>
        <v>01553-09321</v>
      </c>
      <c r="B66" t="str">
        <f>"CLIP"</f>
        <v>CLIP</v>
      </c>
      <c r="C66">
        <v>0</v>
      </c>
      <c r="D66">
        <v>29.375999999999998</v>
      </c>
    </row>
    <row r="67" spans="1:4">
      <c r="A67" t="str">
        <f>"01553-09571"</f>
        <v>01553-09571</v>
      </c>
      <c r="B67" t="str">
        <f>"CLIP"</f>
        <v>CLIP</v>
      </c>
      <c r="C67">
        <v>59</v>
      </c>
      <c r="D67">
        <v>46.92</v>
      </c>
    </row>
    <row r="68" spans="1:4">
      <c r="A68" t="str">
        <f>"01553-09611"</f>
        <v>01553-09611</v>
      </c>
      <c r="B68" t="str">
        <f>"CLIP"</f>
        <v>CLIP</v>
      </c>
      <c r="C68">
        <v>100</v>
      </c>
      <c r="D68">
        <v>36.311999999999998</v>
      </c>
    </row>
    <row r="69" spans="1:4">
      <c r="A69" t="str">
        <f>"01553-10251"</f>
        <v>01553-10251</v>
      </c>
      <c r="B69" t="str">
        <f>"Пистон обшивки двери"</f>
        <v>Пистон обшивки двери</v>
      </c>
      <c r="C69">
        <v>6</v>
      </c>
      <c r="D69">
        <v>28.56</v>
      </c>
    </row>
    <row r="70" spans="1:4">
      <c r="A70" t="str">
        <f>"01553-1047E"</f>
        <v>01553-1047E</v>
      </c>
      <c r="B70" t="str">
        <f>"CLIP-TRIM"</f>
        <v>CLIP-TRIM</v>
      </c>
      <c r="C70">
        <v>16</v>
      </c>
      <c r="D70">
        <v>41.616</v>
      </c>
    </row>
    <row r="71" spans="1:4">
      <c r="A71" t="str">
        <f>"01553-10701"</f>
        <v>01553-10701</v>
      </c>
      <c r="B71" t="str">
        <f>"Пистон обшивки"</f>
        <v>Пистон обшивки</v>
      </c>
      <c r="C71">
        <v>19</v>
      </c>
      <c r="D71">
        <v>28.56</v>
      </c>
    </row>
    <row r="72" spans="1:4">
      <c r="A72" t="str">
        <f>"01553-10721"</f>
        <v>01553-10721</v>
      </c>
      <c r="B72" t="str">
        <f>"Пистон брызговик"</f>
        <v>Пистон брызговик</v>
      </c>
      <c r="C72">
        <v>53</v>
      </c>
      <c r="D72">
        <v>38.351999999999997</v>
      </c>
    </row>
    <row r="73" spans="1:4">
      <c r="A73" t="str">
        <f>"01553-95F1D"</f>
        <v>01553-95F1D</v>
      </c>
      <c r="B73" t="str">
        <f>"Пистон бампера"</f>
        <v>Пистон бампера</v>
      </c>
      <c r="C73">
        <v>39</v>
      </c>
      <c r="D73">
        <v>56.711999999999996</v>
      </c>
    </row>
    <row r="74" spans="1:4">
      <c r="A74" t="str">
        <f>"01553-95F1E"</f>
        <v>01553-95F1E</v>
      </c>
      <c r="B74" t="str">
        <f>"Пистон обшивки салон"</f>
        <v>Пистон обшивки салон</v>
      </c>
      <c r="C74">
        <v>0</v>
      </c>
      <c r="D74">
        <v>26.52</v>
      </c>
    </row>
    <row r="75" spans="1:4">
      <c r="A75" t="str">
        <f>"01553-95F1F"</f>
        <v>01553-95F1F</v>
      </c>
      <c r="B75" t="str">
        <f>"Пистон обшивки салон"</f>
        <v>Пистон обшивки салон</v>
      </c>
      <c r="C75">
        <v>41</v>
      </c>
      <c r="D75">
        <v>118.32</v>
      </c>
    </row>
    <row r="76" spans="1:4">
      <c r="A76" t="str">
        <f>"01553-95F1G"</f>
        <v>01553-95F1G</v>
      </c>
      <c r="B76" t="str">
        <f>"Пистон обшивки салон"</f>
        <v>Пистон обшивки салон</v>
      </c>
      <c r="C76">
        <v>50</v>
      </c>
      <c r="D76">
        <v>29.783999999999999</v>
      </c>
    </row>
    <row r="77" spans="1:4">
      <c r="A77" t="str">
        <f>"01553-95F1H"</f>
        <v>01553-95F1H</v>
      </c>
      <c r="B77" t="str">
        <f>"Пистон облицовки бам"</f>
        <v>Пистон облицовки бам</v>
      </c>
      <c r="C77">
        <v>95</v>
      </c>
      <c r="D77">
        <v>61.199999999999996</v>
      </c>
    </row>
    <row r="78" spans="1:4">
      <c r="A78" t="str">
        <f>"01553-JD01B"</f>
        <v>01553-JD01B</v>
      </c>
      <c r="B78" t="str">
        <f>"Пистон обшивки салон"</f>
        <v>Пистон обшивки салон</v>
      </c>
      <c r="C78">
        <v>44</v>
      </c>
      <c r="D78">
        <v>72.623999999999995</v>
      </c>
    </row>
    <row r="79" spans="1:4">
      <c r="A79" t="str">
        <f>"01553-JD02A"</f>
        <v>01553-JD02A</v>
      </c>
      <c r="B79" t="str">
        <f>"Пистон крепежный"</f>
        <v>Пистон крепежный</v>
      </c>
      <c r="C79">
        <v>4</v>
      </c>
      <c r="D79">
        <v>52.224000000000004</v>
      </c>
    </row>
    <row r="80" spans="1:4">
      <c r="A80" t="str">
        <f>"01554-00181"</f>
        <v>01554-00181</v>
      </c>
      <c r="B80" t="str">
        <f>"CLIP-FINISHER"</f>
        <v>CLIP-FINISHER</v>
      </c>
      <c r="C80">
        <v>14</v>
      </c>
      <c r="D80">
        <v>36.72</v>
      </c>
    </row>
    <row r="81" spans="1:4">
      <c r="A81" t="str">
        <f>"01555-00881"</f>
        <v>01555-00881</v>
      </c>
      <c r="B81" t="str">
        <f>"Хомут шланга"</f>
        <v>Хомут шланга</v>
      </c>
      <c r="C81">
        <v>1</v>
      </c>
      <c r="D81">
        <v>79.559999999999988</v>
      </c>
    </row>
    <row r="82" spans="1:4">
      <c r="A82" t="str">
        <f>"01658-00393"</f>
        <v>01658-00393</v>
      </c>
      <c r="B82" t="str">
        <f>"BUMPER"</f>
        <v>BUMPER</v>
      </c>
      <c r="C82">
        <v>12</v>
      </c>
      <c r="D82">
        <v>53.04</v>
      </c>
    </row>
    <row r="83" spans="1:4">
      <c r="A83" t="str">
        <f>"01658-02091"</f>
        <v>01658-02091</v>
      </c>
      <c r="B83" t="str">
        <f>"BUMPER-TRUNK"</f>
        <v>BUMPER-TRUNK</v>
      </c>
      <c r="C83">
        <v>41</v>
      </c>
      <c r="D83">
        <v>83.64</v>
      </c>
    </row>
    <row r="84" spans="1:4">
      <c r="A84" t="str">
        <f>"01658-95F1A"</f>
        <v>01658-95F1A</v>
      </c>
      <c r="B84" t="str">
        <f>"Отбойник крышки бага"</f>
        <v>Отбойник крышки бага</v>
      </c>
      <c r="C84">
        <v>38</v>
      </c>
      <c r="D84">
        <v>83.231999999999999</v>
      </c>
    </row>
    <row r="85" spans="1:4">
      <c r="A85" t="str">
        <f>"02117-010XC"</f>
        <v>02117-010XC</v>
      </c>
      <c r="B85" t="str">
        <f>"Ремень гидроусилител"</f>
        <v>Ремень гидроусилител</v>
      </c>
      <c r="C85">
        <v>4</v>
      </c>
      <c r="D85">
        <v>312.52799999999996</v>
      </c>
    </row>
    <row r="86" spans="1:4">
      <c r="A86" t="str">
        <f>"02117-070X3"</f>
        <v>02117-070X3</v>
      </c>
      <c r="B86" t="str">
        <f>"Ремень гидроусилител"</f>
        <v>Ремень гидроусилител</v>
      </c>
      <c r="C86">
        <v>10</v>
      </c>
      <c r="D86">
        <v>329.25599999999997</v>
      </c>
    </row>
    <row r="87" spans="1:4">
      <c r="A87" t="str">
        <f>"02117-400X3"</f>
        <v>02117-400X3</v>
      </c>
      <c r="B87" t="str">
        <f>"BELT"</f>
        <v>BELT</v>
      </c>
      <c r="C87">
        <v>1</v>
      </c>
      <c r="D87">
        <v>387.59999999999997</v>
      </c>
    </row>
    <row r="88" spans="1:4">
      <c r="A88" t="str">
        <f>"02117-775X3"</f>
        <v>02117-775X3</v>
      </c>
      <c r="B88" t="str">
        <f>"Ремень гидроусилител"</f>
        <v>Ремень гидроусилител</v>
      </c>
      <c r="C88">
        <v>0</v>
      </c>
      <c r="D88">
        <v>255.816</v>
      </c>
    </row>
    <row r="89" spans="1:4">
      <c r="A89" t="str">
        <f>"02117-880XC"</f>
        <v>02117-880XC</v>
      </c>
      <c r="B89" t="str">
        <f>"Ремень гидроусилител"</f>
        <v>Ремень гидроусилител</v>
      </c>
      <c r="C89">
        <v>2</v>
      </c>
      <c r="D89">
        <v>280.70399999999995</v>
      </c>
    </row>
    <row r="90" spans="1:4">
      <c r="A90" t="str">
        <f>"02117-900XC"</f>
        <v>02117-900XC</v>
      </c>
      <c r="B90" t="str">
        <f>"Ремень гидроусилител"</f>
        <v>Ремень гидроусилител</v>
      </c>
      <c r="C90">
        <v>4</v>
      </c>
      <c r="D90">
        <v>362.30400000000003</v>
      </c>
    </row>
    <row r="91" spans="1:4">
      <c r="A91" t="str">
        <f>"02117-935XC"</f>
        <v>02117-935XC</v>
      </c>
      <c r="B91" t="str">
        <f>"Ремень компрессора к"</f>
        <v>Ремень компрессора к</v>
      </c>
      <c r="C91">
        <v>8</v>
      </c>
      <c r="D91">
        <v>275.80799999999999</v>
      </c>
    </row>
    <row r="92" spans="1:4">
      <c r="A92" t="str">
        <f>"02117-950XC"</f>
        <v>02117-950XC</v>
      </c>
      <c r="B92" t="str">
        <f>"Ремень компрессора к"</f>
        <v>Ремень компрессора к</v>
      </c>
      <c r="C92">
        <v>1</v>
      </c>
      <c r="D92">
        <v>277.44</v>
      </c>
    </row>
    <row r="93" spans="1:4">
      <c r="A93" t="str">
        <f>"02117-96023"</f>
        <v>02117-96023</v>
      </c>
      <c r="B93" t="str">
        <f>"BELT FAN"</f>
        <v>BELT FAN</v>
      </c>
      <c r="C93">
        <v>3</v>
      </c>
      <c r="D93">
        <v>393.72</v>
      </c>
    </row>
    <row r="94" spans="1:4">
      <c r="A94" t="str">
        <f>"02809-95F0A"</f>
        <v>02809-95F0A</v>
      </c>
      <c r="B94" t="str">
        <f>"Пистон обшивки двери"</f>
        <v>Пистон обшивки двери</v>
      </c>
      <c r="C94">
        <v>30</v>
      </c>
      <c r="D94">
        <v>27.336000000000002</v>
      </c>
    </row>
    <row r="95" spans="1:4">
      <c r="A95" t="str">
        <f>"08024-4651A"</f>
        <v>08024-4651A</v>
      </c>
      <c r="B95" t="str">
        <f>"BOLT-HEX"</f>
        <v>BOLT-HEX</v>
      </c>
      <c r="C95">
        <v>20</v>
      </c>
      <c r="D95">
        <v>175.03200000000001</v>
      </c>
    </row>
    <row r="96" spans="1:4">
      <c r="A96" t="str">
        <f>"08024-6801A"</f>
        <v>08024-6801A</v>
      </c>
      <c r="B96" t="str">
        <f>"BOLT-HEX"</f>
        <v>BOLT-HEX</v>
      </c>
      <c r="C96">
        <v>0</v>
      </c>
      <c r="D96">
        <v>189.31199999999998</v>
      </c>
    </row>
    <row r="97" spans="1:4">
      <c r="A97" t="str">
        <f>"08024-6851A"</f>
        <v>08024-6851A</v>
      </c>
      <c r="B97" t="str">
        <f>"BOLT-HEX"</f>
        <v>BOLT-HEX</v>
      </c>
      <c r="C97">
        <v>6</v>
      </c>
      <c r="D97">
        <v>80.376000000000005</v>
      </c>
    </row>
    <row r="98" spans="1:4">
      <c r="A98" t="str">
        <f>"08146-6162H"</f>
        <v>08146-6162H</v>
      </c>
      <c r="B98" t="str">
        <f>"BOLT-HEX"</f>
        <v>BOLT-HEX</v>
      </c>
      <c r="C98">
        <v>27</v>
      </c>
      <c r="D98">
        <v>22.847999999999999</v>
      </c>
    </row>
    <row r="99" spans="1:4">
      <c r="A99" t="str">
        <f>"08146-6165H"</f>
        <v>08146-6165H</v>
      </c>
      <c r="B99" t="str">
        <f>"BOLT-HEX"</f>
        <v>BOLT-HEX</v>
      </c>
      <c r="C99">
        <v>27</v>
      </c>
      <c r="D99">
        <v>33.455999999999996</v>
      </c>
    </row>
    <row r="100" spans="1:4">
      <c r="A100" t="str">
        <f>"08368-6162H"</f>
        <v>08368-6162H</v>
      </c>
      <c r="B100" t="str">
        <f>"SCR-HEX HD,PP W"</f>
        <v>SCR-HEX HD,PP W</v>
      </c>
      <c r="C100">
        <v>8</v>
      </c>
      <c r="D100">
        <v>29.375999999999998</v>
      </c>
    </row>
    <row r="101" spans="1:4">
      <c r="A101" t="str">
        <f>"08540-51242"</f>
        <v>08540-51242</v>
      </c>
      <c r="B101" t="str">
        <f>"SCREW-TAPPING"</f>
        <v>SCREW-TAPPING</v>
      </c>
      <c r="C101">
        <v>4</v>
      </c>
      <c r="D101">
        <v>45.695999999999998</v>
      </c>
    </row>
    <row r="102" spans="1:4">
      <c r="A102" t="str">
        <f>"08566-6205A"</f>
        <v>08566-6205A</v>
      </c>
      <c r="B102" t="str">
        <f>"SCREW-TAPPING"</f>
        <v>SCREW-TAPPING</v>
      </c>
      <c r="C102">
        <v>1</v>
      </c>
      <c r="D102">
        <v>28.56</v>
      </c>
    </row>
    <row r="103" spans="1:4">
      <c r="A103" t="str">
        <f>"08566-6255A"</f>
        <v>08566-6255A</v>
      </c>
      <c r="B103" t="str">
        <f>"SCREW-TAPPING"</f>
        <v>SCREW-TAPPING</v>
      </c>
      <c r="C103">
        <v>23</v>
      </c>
      <c r="D103">
        <v>28.56</v>
      </c>
    </row>
    <row r="104" spans="1:4">
      <c r="A104" t="str">
        <f>"08911-10637"</f>
        <v>08911-10637</v>
      </c>
      <c r="B104" t="str">
        <f>"NUT-HEX"</f>
        <v>NUT-HEX</v>
      </c>
      <c r="C104">
        <v>8</v>
      </c>
      <c r="D104">
        <v>22.032</v>
      </c>
    </row>
    <row r="105" spans="1:4">
      <c r="A105" t="str">
        <f>"08911-6421A"</f>
        <v>08911-6421A</v>
      </c>
      <c r="B105" t="str">
        <f>"Гайка крепежная"</f>
        <v>Гайка крепежная</v>
      </c>
      <c r="C105">
        <v>19</v>
      </c>
      <c r="D105">
        <v>28.968</v>
      </c>
    </row>
    <row r="106" spans="1:4">
      <c r="A106" t="str">
        <f>"08911-6441A"</f>
        <v>08911-6441A</v>
      </c>
      <c r="B106" t="str">
        <f t="shared" ref="B106:B113" si="0">"NUT-HEX"</f>
        <v>NUT-HEX</v>
      </c>
      <c r="C106">
        <v>0</v>
      </c>
      <c r="D106">
        <v>42.431999999999995</v>
      </c>
    </row>
    <row r="107" spans="1:4">
      <c r="A107" t="str">
        <f>"08912-3401A"</f>
        <v>08912-3401A</v>
      </c>
      <c r="B107" t="str">
        <f t="shared" si="0"/>
        <v>NUT-HEX</v>
      </c>
      <c r="C107">
        <v>0</v>
      </c>
      <c r="D107">
        <v>26.928000000000001</v>
      </c>
    </row>
    <row r="108" spans="1:4">
      <c r="A108" t="str">
        <f>"08912-4461A"</f>
        <v>08912-4461A</v>
      </c>
      <c r="B108" t="str">
        <f t="shared" si="0"/>
        <v>NUT-HEX</v>
      </c>
      <c r="C108">
        <v>0</v>
      </c>
      <c r="D108">
        <v>78.335999999999999</v>
      </c>
    </row>
    <row r="109" spans="1:4">
      <c r="A109" t="str">
        <f>"08912-7082A"</f>
        <v>08912-7082A</v>
      </c>
      <c r="B109" t="str">
        <f t="shared" si="0"/>
        <v>NUT-HEX</v>
      </c>
      <c r="C109">
        <v>4</v>
      </c>
      <c r="D109">
        <v>13.056000000000001</v>
      </c>
    </row>
    <row r="110" spans="1:4">
      <c r="A110" t="str">
        <f>"08912-74010"</f>
        <v>08912-74010</v>
      </c>
      <c r="B110" t="str">
        <f t="shared" si="0"/>
        <v>NUT-HEX</v>
      </c>
      <c r="C110">
        <v>16</v>
      </c>
      <c r="D110">
        <v>30.192</v>
      </c>
    </row>
    <row r="111" spans="1:4">
      <c r="A111" t="str">
        <f>"08912-8401A"</f>
        <v>08912-8401A</v>
      </c>
      <c r="B111" t="str">
        <f t="shared" si="0"/>
        <v>NUT-HEX</v>
      </c>
      <c r="C111">
        <v>28</v>
      </c>
      <c r="D111">
        <v>24.479999999999997</v>
      </c>
    </row>
    <row r="112" spans="1:4">
      <c r="A112" t="str">
        <f>"08912-9441A"</f>
        <v>08912-9441A</v>
      </c>
      <c r="B112" t="str">
        <f t="shared" si="0"/>
        <v>NUT-HEX</v>
      </c>
      <c r="C112">
        <v>0</v>
      </c>
      <c r="D112">
        <v>58.343999999999994</v>
      </c>
    </row>
    <row r="113" spans="1:4">
      <c r="A113" t="str">
        <f>"08912-9461A"</f>
        <v>08912-9461A</v>
      </c>
      <c r="B113" t="str">
        <f t="shared" si="0"/>
        <v>NUT-HEX</v>
      </c>
      <c r="C113">
        <v>20</v>
      </c>
      <c r="D113">
        <v>41.616</v>
      </c>
    </row>
    <row r="114" spans="1:4">
      <c r="A114" t="str">
        <f>"08913-6365A"</f>
        <v>08913-6365A</v>
      </c>
      <c r="B114" t="str">
        <f>"NUT-U"</f>
        <v>NUT-U</v>
      </c>
      <c r="C114">
        <v>0</v>
      </c>
      <c r="D114">
        <v>46.511999999999993</v>
      </c>
    </row>
    <row r="115" spans="1:4">
      <c r="A115" t="str">
        <f>"08915-5401A"</f>
        <v>08915-5401A</v>
      </c>
      <c r="B115" t="str">
        <f>"WASHER-PLAIN"</f>
        <v>WASHER-PLAIN</v>
      </c>
      <c r="C115">
        <v>41</v>
      </c>
      <c r="D115">
        <v>27.336000000000002</v>
      </c>
    </row>
    <row r="116" spans="1:4">
      <c r="A116" t="str">
        <f>"08918-1401A"</f>
        <v>08918-1401A</v>
      </c>
      <c r="B116" t="str">
        <f>"NUT-HEX"</f>
        <v>NUT-HEX</v>
      </c>
      <c r="C116">
        <v>11</v>
      </c>
      <c r="D116">
        <v>28.152000000000001</v>
      </c>
    </row>
    <row r="117" spans="1:4">
      <c r="A117" t="str">
        <f>"08918-3401A"</f>
        <v>08918-3401A</v>
      </c>
      <c r="B117" t="str">
        <f>"NUT-FLANGE,HEX"</f>
        <v>NUT-FLANGE,HEX</v>
      </c>
      <c r="C117">
        <v>35</v>
      </c>
      <c r="D117">
        <v>24.887999999999998</v>
      </c>
    </row>
    <row r="118" spans="1:4">
      <c r="A118" t="str">
        <f>"08931-4441A"</f>
        <v>08931-4441A</v>
      </c>
      <c r="B118" t="str">
        <f>"PLUG-THREAD"</f>
        <v>PLUG-THREAD</v>
      </c>
      <c r="C118">
        <v>3</v>
      </c>
      <c r="D118">
        <v>83.64</v>
      </c>
    </row>
    <row r="119" spans="1:4">
      <c r="A119" t="str">
        <f>"08931-5081A"</f>
        <v>08931-5081A</v>
      </c>
      <c r="B119" t="str">
        <f>"PLUG-TAPER"</f>
        <v>PLUG-TAPER</v>
      </c>
      <c r="C119">
        <v>50</v>
      </c>
      <c r="D119">
        <v>97.512</v>
      </c>
    </row>
    <row r="120" spans="1:4">
      <c r="A120" t="str">
        <f>"09062-0017P"</f>
        <v>09062-0017P</v>
      </c>
      <c r="B120" t="str">
        <f>"OIL SEAL"</f>
        <v>OIL SEAL</v>
      </c>
      <c r="C120">
        <v>0</v>
      </c>
      <c r="D120">
        <v>98.327999999999989</v>
      </c>
    </row>
    <row r="121" spans="1:4">
      <c r="A121" t="str">
        <f>"10007-VC324"</f>
        <v>10007-VC324</v>
      </c>
      <c r="B121" t="str">
        <f>"KIT-ENG PARTS"</f>
        <v>KIT-ENG PARTS</v>
      </c>
      <c r="C121">
        <v>1</v>
      </c>
      <c r="D121">
        <v>3448.4159999999997</v>
      </c>
    </row>
    <row r="122" spans="1:4">
      <c r="A122" t="str">
        <f>"10101-2F026"</f>
        <v>10101-2F026</v>
      </c>
      <c r="B122" t="str">
        <f>"GASKET KIT-ENGI"</f>
        <v>GASKET KIT-ENGI</v>
      </c>
      <c r="C122">
        <v>5</v>
      </c>
      <c r="D122">
        <v>5714.8559999999998</v>
      </c>
    </row>
    <row r="123" spans="1:4">
      <c r="A123" t="str">
        <f>"10101-74YX7"</f>
        <v>10101-74YX7</v>
      </c>
      <c r="B123" t="str">
        <f>"GSKT KIT-ENG"</f>
        <v>GSKT KIT-ENG</v>
      </c>
      <c r="C123">
        <v>0</v>
      </c>
      <c r="D123">
        <v>2710.3439999999996</v>
      </c>
    </row>
    <row r="124" spans="1:4">
      <c r="A124" t="str">
        <f>"10101-7S025"</f>
        <v>10101-7S025</v>
      </c>
      <c r="B124" t="str">
        <f>"Прокладки двигателя "</f>
        <v xml:space="preserve">Прокладки двигателя </v>
      </c>
      <c r="C124">
        <v>2</v>
      </c>
      <c r="D124">
        <v>6704.6639999999998</v>
      </c>
    </row>
    <row r="125" spans="1:4">
      <c r="A125" t="str">
        <f>"10101-AD225"</f>
        <v>10101-AD225</v>
      </c>
      <c r="B125" t="str">
        <f>"GASKET-ENGINE"</f>
        <v>GASKET-ENGINE</v>
      </c>
      <c r="C125">
        <v>7</v>
      </c>
      <c r="D125">
        <v>4599.384</v>
      </c>
    </row>
    <row r="126" spans="1:4">
      <c r="A126" t="str">
        <f>"10101-AU025"</f>
        <v>10101-AU025</v>
      </c>
      <c r="B126" t="str">
        <f>"GASKET-ENGINE"</f>
        <v>GASKET-ENGINE</v>
      </c>
      <c r="C126">
        <v>1</v>
      </c>
      <c r="D126">
        <v>7129.8</v>
      </c>
    </row>
    <row r="127" spans="1:4">
      <c r="A127" t="str">
        <f>"10101-AU327"</f>
        <v>10101-AU327</v>
      </c>
      <c r="B127" t="str">
        <f>"GASKET-ENGINE"</f>
        <v>GASKET-ENGINE</v>
      </c>
      <c r="C127">
        <v>4</v>
      </c>
      <c r="D127">
        <v>3513.2879999999996</v>
      </c>
    </row>
    <row r="128" spans="1:4">
      <c r="A128" t="str">
        <f>"10101-BM527"</f>
        <v>10101-BM527</v>
      </c>
      <c r="B128" t="str">
        <f>"GASKET KIT-ENGI"</f>
        <v>GASKET KIT-ENGI</v>
      </c>
      <c r="C128">
        <v>5</v>
      </c>
      <c r="D128">
        <v>7612.8720000000003</v>
      </c>
    </row>
    <row r="129" spans="1:4">
      <c r="A129" t="str">
        <f>"10101-BM528"</f>
        <v>10101-BM528</v>
      </c>
      <c r="B129" t="str">
        <f>"GASKET KIT-ENGI"</f>
        <v>GASKET KIT-ENGI</v>
      </c>
      <c r="C129">
        <v>4</v>
      </c>
      <c r="D129">
        <v>7263.2160000000003</v>
      </c>
    </row>
    <row r="130" spans="1:4">
      <c r="A130" t="str">
        <f>"10101-BM628"</f>
        <v>10101-BM628</v>
      </c>
      <c r="B130" t="str">
        <f>"GASKET KIT-ENGI"</f>
        <v>GASKET KIT-ENGI</v>
      </c>
      <c r="C130">
        <v>5</v>
      </c>
      <c r="D130">
        <v>7224.4560000000001</v>
      </c>
    </row>
    <row r="131" spans="1:4">
      <c r="A131" t="str">
        <f>"10101-BN026"</f>
        <v>10101-BN026</v>
      </c>
      <c r="B131" t="str">
        <f>"Прокладки двигателя "</f>
        <v xml:space="preserve">Прокладки двигателя </v>
      </c>
      <c r="C131">
        <v>2</v>
      </c>
      <c r="D131">
        <v>8689.5839999999989</v>
      </c>
    </row>
    <row r="132" spans="1:4">
      <c r="A132" t="str">
        <f>"10101-BN027"</f>
        <v>10101-BN027</v>
      </c>
      <c r="B132" t="str">
        <f>"Прокладки двигателя "</f>
        <v xml:space="preserve">Прокладки двигателя </v>
      </c>
      <c r="C132">
        <v>10</v>
      </c>
      <c r="D132">
        <v>8754.4560000000001</v>
      </c>
    </row>
    <row r="133" spans="1:4">
      <c r="A133" t="str">
        <f>"10101-CG025"</f>
        <v>10101-CG025</v>
      </c>
      <c r="B133" t="str">
        <f>"Прокладки двигателя "</f>
        <v xml:space="preserve">Прокладки двигателя </v>
      </c>
      <c r="C133">
        <v>10</v>
      </c>
      <c r="D133">
        <v>9026.5919999999987</v>
      </c>
    </row>
    <row r="134" spans="1:4">
      <c r="A134" t="str">
        <f>"10101-CG125"</f>
        <v>10101-CG125</v>
      </c>
      <c r="B134" t="str">
        <f>"GASKET-ENGINE"</f>
        <v>GASKET-ENGINE</v>
      </c>
      <c r="C134">
        <v>13</v>
      </c>
      <c r="D134">
        <v>7667.9519999999993</v>
      </c>
    </row>
    <row r="135" spans="1:4">
      <c r="A135" t="str">
        <f>"10101-EA225"</f>
        <v>10101-EA225</v>
      </c>
      <c r="B135" t="str">
        <f>"Прокладки двигателя "</f>
        <v xml:space="preserve">Прокладки двигателя </v>
      </c>
      <c r="C135">
        <v>2</v>
      </c>
      <c r="D135">
        <v>5323.1759999999995</v>
      </c>
    </row>
    <row r="136" spans="1:4">
      <c r="A136" t="str">
        <f>"11009-VC10A"</f>
        <v>11009-VC10A</v>
      </c>
      <c r="B136" t="str">
        <f>"Блок двигателя ZD30D"</f>
        <v>Блок двигателя ZD30D</v>
      </c>
      <c r="C136">
        <v>2</v>
      </c>
      <c r="D136">
        <v>75751.319999999992</v>
      </c>
    </row>
    <row r="137" spans="1:4">
      <c r="A137" t="str">
        <f>"11021-D0100"</f>
        <v>11021-D0100</v>
      </c>
      <c r="B137" t="str">
        <f>"PLUG BLIND"</f>
        <v>PLUG BLIND</v>
      </c>
      <c r="C137">
        <v>0</v>
      </c>
      <c r="D137">
        <v>34.68</v>
      </c>
    </row>
    <row r="138" spans="1:4">
      <c r="A138" t="str">
        <f>"11026-00Q0D"</f>
        <v>11026-00Q0D</v>
      </c>
      <c r="B138" t="str">
        <f>"Шайба уплотнительная"</f>
        <v>Шайба уплотнительная</v>
      </c>
      <c r="C138">
        <v>0</v>
      </c>
      <c r="D138">
        <v>24.887999999999998</v>
      </c>
    </row>
    <row r="139" spans="1:4">
      <c r="A139" t="str">
        <f>"11026-01M02"</f>
        <v>11026-01M02</v>
      </c>
      <c r="B139" t="str">
        <f>"WASHER DRAIN"</f>
        <v>WASHER DRAIN</v>
      </c>
      <c r="C139">
        <v>0</v>
      </c>
      <c r="D139">
        <v>29.783999999999999</v>
      </c>
    </row>
    <row r="140" spans="1:4">
      <c r="A140" t="str">
        <f>"11026-4N200"</f>
        <v>11026-4N200</v>
      </c>
      <c r="B140" t="str">
        <f>"GASKET-PLUG"</f>
        <v>GASKET-PLUG</v>
      </c>
      <c r="C140">
        <v>53</v>
      </c>
      <c r="D140">
        <v>64.463999999999999</v>
      </c>
    </row>
    <row r="141" spans="1:4">
      <c r="A141" t="str">
        <f>"11026-53J00"</f>
        <v>11026-53J00</v>
      </c>
      <c r="B141" t="str">
        <f>"GASKET"</f>
        <v>GASKET</v>
      </c>
      <c r="C141">
        <v>11</v>
      </c>
      <c r="D141">
        <v>44.472000000000001</v>
      </c>
    </row>
    <row r="142" spans="1:4">
      <c r="A142" t="str">
        <f>"11026-61000"</f>
        <v>11026-61000</v>
      </c>
      <c r="B142" t="str">
        <f>"WASHER DRAIN"</f>
        <v>WASHER DRAIN</v>
      </c>
      <c r="C142">
        <v>123</v>
      </c>
      <c r="D142">
        <v>29.783999999999999</v>
      </c>
    </row>
    <row r="143" spans="1:4">
      <c r="A143" t="str">
        <f>"11039-EC00A"</f>
        <v>11039-EC00A</v>
      </c>
      <c r="B143" t="str">
        <f>"Головка блока циллин"</f>
        <v>Головка блока циллин</v>
      </c>
      <c r="C143">
        <v>8</v>
      </c>
      <c r="D143">
        <v>60811.583999999995</v>
      </c>
    </row>
    <row r="144" spans="1:4">
      <c r="A144" t="str">
        <f>"11039-VC10A"</f>
        <v>11039-VC10A</v>
      </c>
      <c r="B144" t="str">
        <f>"Головка блока циллин"</f>
        <v>Головка блока циллин</v>
      </c>
      <c r="C144">
        <v>5</v>
      </c>
      <c r="D144">
        <v>39782.855999999992</v>
      </c>
    </row>
    <row r="145" spans="1:4">
      <c r="A145" t="str">
        <f>"11040-8H302"</f>
        <v>11040-8H302</v>
      </c>
      <c r="B145" t="str">
        <f>"Головка блока циллин"</f>
        <v>Головка блока циллин</v>
      </c>
      <c r="C145">
        <v>3</v>
      </c>
      <c r="D145">
        <v>31914.983999999997</v>
      </c>
    </row>
    <row r="146" spans="1:4">
      <c r="A146" t="str">
        <f>"11040-VB301"</f>
        <v>11040-VB301</v>
      </c>
      <c r="B146" t="str">
        <f>"HEAD CYLINDER"</f>
        <v>HEAD CYLINDER</v>
      </c>
      <c r="C146">
        <v>1</v>
      </c>
      <c r="D146">
        <v>43689.864000000001</v>
      </c>
    </row>
    <row r="147" spans="1:4">
      <c r="A147" t="str">
        <f>"11042-BM528"</f>
        <v>11042-BM528</v>
      </c>
      <c r="B147" t="str">
        <f>"GASKET KIT-VALV"</f>
        <v>GASKET KIT-VALV</v>
      </c>
      <c r="C147">
        <v>3</v>
      </c>
      <c r="D147">
        <v>3633.6479999999997</v>
      </c>
    </row>
    <row r="148" spans="1:4">
      <c r="A148" t="str">
        <f>"11042-BN026"</f>
        <v>11042-BN026</v>
      </c>
      <c r="B148" t="str">
        <f>"Прокладки двигателя "</f>
        <v xml:space="preserve">Прокладки двигателя </v>
      </c>
      <c r="C148">
        <v>3</v>
      </c>
      <c r="D148">
        <v>4567.152</v>
      </c>
    </row>
    <row r="149" spans="1:4">
      <c r="A149" t="str">
        <f>"11042-VC126"</f>
        <v>11042-VC126</v>
      </c>
      <c r="B149" t="str">
        <f>"GASKET KIT"</f>
        <v>GASKET KIT</v>
      </c>
      <c r="C149">
        <v>4</v>
      </c>
      <c r="D149">
        <v>3108.1439999999998</v>
      </c>
    </row>
    <row r="150" spans="1:4">
      <c r="A150" t="str">
        <f>"11044-0C412"</f>
        <v>11044-0C412</v>
      </c>
      <c r="B150" t="str">
        <f t="shared" ref="B150:B162" si="1">"GASKET-CYLINDER"</f>
        <v>GASKET-CYLINDER</v>
      </c>
      <c r="C150">
        <v>5</v>
      </c>
      <c r="D150">
        <v>1355.376</v>
      </c>
    </row>
    <row r="151" spans="1:4">
      <c r="A151" t="str">
        <f>"11044-0M300"</f>
        <v>11044-0M300</v>
      </c>
      <c r="B151" t="str">
        <f t="shared" si="1"/>
        <v>GASKET-CYLINDER</v>
      </c>
      <c r="C151">
        <v>17</v>
      </c>
      <c r="D151">
        <v>751.12800000000004</v>
      </c>
    </row>
    <row r="152" spans="1:4">
      <c r="A152" t="str">
        <f>"11044-1C711"</f>
        <v>11044-1C711</v>
      </c>
      <c r="B152" t="str">
        <f t="shared" si="1"/>
        <v>GASKET-CYLINDER</v>
      </c>
      <c r="C152">
        <v>1</v>
      </c>
      <c r="D152">
        <v>970.63199999999995</v>
      </c>
    </row>
    <row r="153" spans="1:4">
      <c r="A153" t="str">
        <f>"11044-2J615"</f>
        <v>11044-2J615</v>
      </c>
      <c r="B153" t="str">
        <f t="shared" si="1"/>
        <v>GASKET-CYLINDER</v>
      </c>
      <c r="C153">
        <v>5</v>
      </c>
      <c r="D153">
        <v>1466.76</v>
      </c>
    </row>
    <row r="154" spans="1:4">
      <c r="A154" t="str">
        <f>"11044-2J616"</f>
        <v>11044-2J616</v>
      </c>
      <c r="B154" t="str">
        <f t="shared" si="1"/>
        <v>GASKET-CYLINDER</v>
      </c>
      <c r="C154">
        <v>3</v>
      </c>
      <c r="D154">
        <v>1464.7199999999998</v>
      </c>
    </row>
    <row r="155" spans="1:4">
      <c r="A155" t="str">
        <f>"11044-2J617"</f>
        <v>11044-2J617</v>
      </c>
      <c r="B155" t="str">
        <f t="shared" si="1"/>
        <v>GASKET-CYLINDER</v>
      </c>
      <c r="C155">
        <v>4</v>
      </c>
      <c r="D155">
        <v>1436.568</v>
      </c>
    </row>
    <row r="156" spans="1:4">
      <c r="A156" t="str">
        <f>"11044-2Y010"</f>
        <v>11044-2Y010</v>
      </c>
      <c r="B156" t="str">
        <f t="shared" si="1"/>
        <v>GASKET-CYLINDER</v>
      </c>
      <c r="C156">
        <v>9</v>
      </c>
      <c r="D156">
        <v>789.07199999999989</v>
      </c>
    </row>
    <row r="157" spans="1:4">
      <c r="A157" t="str">
        <f>"11044-2Y015"</f>
        <v>11044-2Y015</v>
      </c>
      <c r="B157" t="str">
        <f t="shared" si="1"/>
        <v>GASKET-CYLINDER</v>
      </c>
      <c r="C157">
        <v>3</v>
      </c>
      <c r="D157">
        <v>787.03200000000004</v>
      </c>
    </row>
    <row r="158" spans="1:4">
      <c r="A158" t="str">
        <f>"11044-2Y900"</f>
        <v>11044-2Y900</v>
      </c>
      <c r="B158" t="str">
        <f t="shared" si="1"/>
        <v>GASKET-CYLINDER</v>
      </c>
      <c r="C158">
        <v>4</v>
      </c>
      <c r="D158">
        <v>814.77599999999995</v>
      </c>
    </row>
    <row r="159" spans="1:4">
      <c r="A159" t="str">
        <f>"11044-2Y905"</f>
        <v>11044-2Y905</v>
      </c>
      <c r="B159" t="str">
        <f t="shared" si="1"/>
        <v>GASKET-CYLINDER</v>
      </c>
      <c r="C159">
        <v>0</v>
      </c>
      <c r="D159">
        <v>824.56799999999998</v>
      </c>
    </row>
    <row r="160" spans="1:4">
      <c r="A160" t="str">
        <f>"11044-31U16"</f>
        <v>11044-31U16</v>
      </c>
      <c r="B160" t="str">
        <f t="shared" si="1"/>
        <v>GASKET-CYLINDER</v>
      </c>
      <c r="C160">
        <v>2</v>
      </c>
      <c r="D160">
        <v>866.18400000000008</v>
      </c>
    </row>
    <row r="161" spans="1:4">
      <c r="A161" t="str">
        <f>"11044-38U02"</f>
        <v>11044-38U02</v>
      </c>
      <c r="B161" t="str">
        <f t="shared" si="1"/>
        <v>GASKET-CYLINDER</v>
      </c>
      <c r="C161">
        <v>6</v>
      </c>
      <c r="D161">
        <v>794.78399999999999</v>
      </c>
    </row>
    <row r="162" spans="1:4">
      <c r="A162" t="str">
        <f>"11044-38U07"</f>
        <v>11044-38U07</v>
      </c>
      <c r="B162" t="str">
        <f t="shared" si="1"/>
        <v>GASKET-CYLINDER</v>
      </c>
      <c r="C162">
        <v>3</v>
      </c>
      <c r="D162">
        <v>794.78399999999999</v>
      </c>
    </row>
    <row r="163" spans="1:4">
      <c r="A163" t="str">
        <f>"11044-40FX0"</f>
        <v>11044-40FX0</v>
      </c>
      <c r="B163" t="str">
        <f>"GASKETKIT-CYLIN"</f>
        <v>GASKETKIT-CYLIN</v>
      </c>
      <c r="C163">
        <v>0</v>
      </c>
      <c r="D163">
        <v>735.21599999999989</v>
      </c>
    </row>
    <row r="164" spans="1:4">
      <c r="A164" t="str">
        <f>"11044-4M51A"</f>
        <v>11044-4M51A</v>
      </c>
      <c r="B164" t="str">
        <f>"Прокладка головки бл"</f>
        <v>Прокладка головки бл</v>
      </c>
      <c r="C164">
        <v>2</v>
      </c>
      <c r="D164">
        <v>891.07199999999989</v>
      </c>
    </row>
    <row r="165" spans="1:4">
      <c r="A165" t="str">
        <f>"11044-4M700"</f>
        <v>11044-4M700</v>
      </c>
      <c r="B165" t="str">
        <f>"GASKET-CYLINDER"</f>
        <v>GASKET-CYLINDER</v>
      </c>
      <c r="C165">
        <v>3</v>
      </c>
      <c r="D165">
        <v>960.02399999999989</v>
      </c>
    </row>
    <row r="166" spans="1:4">
      <c r="A166" t="str">
        <f>"11044-4W000"</f>
        <v>11044-4W000</v>
      </c>
      <c r="B166" t="str">
        <f>"GASKET-CYLINDER"</f>
        <v>GASKET-CYLINDER</v>
      </c>
      <c r="C166">
        <v>6</v>
      </c>
      <c r="D166">
        <v>806.20799999999997</v>
      </c>
    </row>
    <row r="167" spans="1:4">
      <c r="A167" t="str">
        <f>"11044-4W005"</f>
        <v>11044-4W005</v>
      </c>
      <c r="B167" t="str">
        <f>"GASKET-CYLINDER"</f>
        <v>GASKET-CYLINDER</v>
      </c>
      <c r="C167">
        <v>4</v>
      </c>
      <c r="D167">
        <v>818.85599999999999</v>
      </c>
    </row>
    <row r="168" spans="1:4">
      <c r="A168" t="str">
        <f>"11044-53Y10"</f>
        <v>11044-53Y10</v>
      </c>
      <c r="B168" t="str">
        <f>"GASKET-CYLINDER"</f>
        <v>GASKET-CYLINDER</v>
      </c>
      <c r="C168">
        <v>3</v>
      </c>
      <c r="D168">
        <v>859.65599999999995</v>
      </c>
    </row>
    <row r="169" spans="1:4">
      <c r="A169" t="str">
        <f>"11044-56S01"</f>
        <v>11044-56S01</v>
      </c>
      <c r="B169" t="str">
        <f>"GASKET CYLINDER"</f>
        <v>GASKET CYLINDER</v>
      </c>
      <c r="C169">
        <v>0</v>
      </c>
      <c r="D169">
        <v>1150.152</v>
      </c>
    </row>
    <row r="170" spans="1:4">
      <c r="A170" t="str">
        <f>"11044-57YX0"</f>
        <v>11044-57YX0</v>
      </c>
      <c r="B170" t="str">
        <f>"Прокладка головки бл"</f>
        <v>Прокладка головки бл</v>
      </c>
      <c r="C170">
        <v>6</v>
      </c>
      <c r="D170">
        <v>468.79200000000003</v>
      </c>
    </row>
    <row r="171" spans="1:4">
      <c r="A171" t="str">
        <f>"11044-5M320"</f>
        <v>11044-5M320</v>
      </c>
      <c r="B171" t="str">
        <f>"GASKET-CYLINDER"</f>
        <v>GASKET-CYLINDER</v>
      </c>
      <c r="C171">
        <v>15</v>
      </c>
      <c r="D171">
        <v>2004.9119999999998</v>
      </c>
    </row>
    <row r="172" spans="1:4">
      <c r="A172" t="str">
        <f>"11044-6N202"</f>
        <v>11044-6N202</v>
      </c>
      <c r="B172" t="str">
        <f>"GASKET-CYLINDER"</f>
        <v>GASKET-CYLINDER</v>
      </c>
      <c r="C172">
        <v>19</v>
      </c>
      <c r="D172">
        <v>2133.0239999999999</v>
      </c>
    </row>
    <row r="173" spans="1:4">
      <c r="A173" t="str">
        <f>"11044-74YX0"</f>
        <v>11044-74YX0</v>
      </c>
      <c r="B173" t="str">
        <f>"GASKETKIT-CYLIN"</f>
        <v>GASKETKIT-CYLIN</v>
      </c>
      <c r="C173">
        <v>3</v>
      </c>
      <c r="D173">
        <v>597.72</v>
      </c>
    </row>
    <row r="174" spans="1:4">
      <c r="A174" t="str">
        <f>"11044-75T02"</f>
        <v>11044-75T02</v>
      </c>
      <c r="B174" t="str">
        <f>"Прокладка головки бл"</f>
        <v>Прокладка головки бл</v>
      </c>
      <c r="C174">
        <v>8</v>
      </c>
      <c r="D174">
        <v>1156.2719999999999</v>
      </c>
    </row>
    <row r="175" spans="1:4">
      <c r="A175" t="str">
        <f>"11044-79EX3"</f>
        <v>11044-79EX3</v>
      </c>
      <c r="B175" t="str">
        <f>"GSKT KIT-CYL"</f>
        <v>GSKT KIT-CYL</v>
      </c>
      <c r="C175">
        <v>4</v>
      </c>
      <c r="D175">
        <v>669.93599999999992</v>
      </c>
    </row>
    <row r="176" spans="1:4">
      <c r="A176" t="str">
        <f>"11044-7J500"</f>
        <v>11044-7J500</v>
      </c>
      <c r="B176" t="str">
        <f>"GASKET-CYLINDER"</f>
        <v>GASKET-CYLINDER</v>
      </c>
      <c r="C176">
        <v>25</v>
      </c>
      <c r="D176">
        <v>2001.24</v>
      </c>
    </row>
    <row r="177" spans="1:4">
      <c r="A177" t="str">
        <f>"11044-7S002"</f>
        <v>11044-7S002</v>
      </c>
      <c r="B177" t="str">
        <f>"Прокладка головки бл"</f>
        <v>Прокладка головки бл</v>
      </c>
      <c r="C177">
        <v>13</v>
      </c>
      <c r="D177">
        <v>688.29600000000005</v>
      </c>
    </row>
    <row r="178" spans="1:4">
      <c r="A178" t="str">
        <f>"11044-7S007"</f>
        <v>11044-7S007</v>
      </c>
      <c r="B178" t="str">
        <f>"Прокладка головки бл"</f>
        <v>Прокладка головки бл</v>
      </c>
      <c r="C178">
        <v>24</v>
      </c>
      <c r="D178">
        <v>696.04799999999989</v>
      </c>
    </row>
    <row r="179" spans="1:4">
      <c r="A179" t="str">
        <f>"11044-89J00"</f>
        <v>11044-89J00</v>
      </c>
      <c r="B179" t="str">
        <f>"GASKET-CYLINDER"</f>
        <v>GASKET-CYLINDER</v>
      </c>
      <c r="C179">
        <v>8</v>
      </c>
      <c r="D179">
        <v>1021.6319999999999</v>
      </c>
    </row>
    <row r="180" spans="1:4">
      <c r="A180" t="str">
        <f>"11044-8H803"</f>
        <v>11044-8H803</v>
      </c>
      <c r="B180" t="str">
        <f>"Прокладка головки бл"</f>
        <v>Прокладка головки бл</v>
      </c>
      <c r="C180">
        <v>3</v>
      </c>
      <c r="D180">
        <v>1315.8</v>
      </c>
    </row>
    <row r="181" spans="1:4">
      <c r="A181" t="str">
        <f>"11044-8H804"</f>
        <v>11044-8H804</v>
      </c>
      <c r="B181" t="str">
        <f>"GASKET-CYLINDER"</f>
        <v>GASKET-CYLINDER</v>
      </c>
      <c r="C181">
        <v>6</v>
      </c>
      <c r="D181">
        <v>1339.4639999999999</v>
      </c>
    </row>
    <row r="182" spans="1:4">
      <c r="A182" t="str">
        <f>"11044-8J102"</f>
        <v>11044-8J102</v>
      </c>
      <c r="B182" t="str">
        <f>"Прокладка головки бл"</f>
        <v>Прокладка головки бл</v>
      </c>
      <c r="C182">
        <v>29</v>
      </c>
      <c r="D182">
        <v>817.22399999999993</v>
      </c>
    </row>
    <row r="183" spans="1:4">
      <c r="A183" t="str">
        <f>"11044-8J107"</f>
        <v>11044-8J107</v>
      </c>
      <c r="B183" t="str">
        <f>"Прокладка головки бл"</f>
        <v>Прокладка головки бл</v>
      </c>
      <c r="C183">
        <v>29</v>
      </c>
      <c r="D183">
        <v>817.63199999999995</v>
      </c>
    </row>
    <row r="184" spans="1:4">
      <c r="A184" t="str">
        <f>"11044-8M010"</f>
        <v>11044-8M010</v>
      </c>
      <c r="B184" t="str">
        <f>"Прокладка головки бл"</f>
        <v>Прокладка головки бл</v>
      </c>
      <c r="C184">
        <v>3</v>
      </c>
      <c r="D184">
        <v>927.79199999999992</v>
      </c>
    </row>
    <row r="185" spans="1:4">
      <c r="A185" t="str">
        <f>"11044-9C605"</f>
        <v>11044-9C605</v>
      </c>
      <c r="B185" t="str">
        <f>"GASKET-CYLINDER"</f>
        <v>GASKET-CYLINDER</v>
      </c>
      <c r="C185">
        <v>6</v>
      </c>
      <c r="D185">
        <v>2297.04</v>
      </c>
    </row>
    <row r="186" spans="1:4">
      <c r="A186" t="str">
        <f>"11044-9C608"</f>
        <v>11044-9C608</v>
      </c>
      <c r="B186" t="str">
        <f>"GASKET-CYLINDER"</f>
        <v>GASKET-CYLINDER</v>
      </c>
      <c r="C186">
        <v>11</v>
      </c>
      <c r="D186">
        <v>2306.8319999999999</v>
      </c>
    </row>
    <row r="187" spans="1:4">
      <c r="A187" t="str">
        <f>"11044-AN201"</f>
        <v>11044-AN201</v>
      </c>
      <c r="B187" t="str">
        <f>"Прокладка головки бл"</f>
        <v>Прокладка головки бл</v>
      </c>
      <c r="C187">
        <v>9</v>
      </c>
      <c r="D187">
        <v>929.42399999999998</v>
      </c>
    </row>
    <row r="188" spans="1:4">
      <c r="A188" t="str">
        <f>"11044-AR003"</f>
        <v>11044-AR003</v>
      </c>
      <c r="B188" t="str">
        <f>"Прокладка головки бл"</f>
        <v>Прокладка головки бл</v>
      </c>
      <c r="C188">
        <v>6</v>
      </c>
      <c r="D188">
        <v>1083.24</v>
      </c>
    </row>
    <row r="189" spans="1:4">
      <c r="A189" t="str">
        <f>"11044-AR008"</f>
        <v>11044-AR008</v>
      </c>
      <c r="B189" t="str">
        <f>"Прокладка головки бл"</f>
        <v>Прокладка головки бл</v>
      </c>
      <c r="C189">
        <v>9</v>
      </c>
      <c r="D189">
        <v>1084.056</v>
      </c>
    </row>
    <row r="190" spans="1:4">
      <c r="A190" t="str">
        <f>"11044-AU000"</f>
        <v>11044-AU000</v>
      </c>
      <c r="B190" t="str">
        <f>"GASKET-CYLINDER"</f>
        <v>GASKET-CYLINDER</v>
      </c>
      <c r="C190">
        <v>15</v>
      </c>
      <c r="D190">
        <v>1598.952</v>
      </c>
    </row>
    <row r="191" spans="1:4">
      <c r="A191" t="str">
        <f>"11044-AX00B"</f>
        <v>11044-AX00B</v>
      </c>
      <c r="B191" t="str">
        <f>"Прокладка головки бл"</f>
        <v>Прокладка головки бл</v>
      </c>
      <c r="C191">
        <v>10</v>
      </c>
      <c r="D191">
        <v>857.20799999999997</v>
      </c>
    </row>
    <row r="192" spans="1:4">
      <c r="A192" t="str">
        <f>"11044-BC20B"</f>
        <v>11044-BC20B</v>
      </c>
      <c r="B192" t="str">
        <f>"Прокладка головки бл"</f>
        <v>Прокладка головки бл</v>
      </c>
      <c r="C192">
        <v>7</v>
      </c>
      <c r="D192">
        <v>827.83199999999999</v>
      </c>
    </row>
    <row r="193" spans="1:4">
      <c r="A193" t="str">
        <f>"11044-BX000"</f>
        <v>11044-BX000</v>
      </c>
      <c r="B193" t="str">
        <f>"GASKET-CYLINDER"</f>
        <v>GASKET-CYLINDER</v>
      </c>
      <c r="C193">
        <v>5</v>
      </c>
      <c r="D193">
        <v>1889.856</v>
      </c>
    </row>
    <row r="194" spans="1:4">
      <c r="A194" t="str">
        <f>"11044-BX005"</f>
        <v>11044-BX005</v>
      </c>
      <c r="B194" t="str">
        <f>"Прокладка головки бл"</f>
        <v>Прокладка головки бл</v>
      </c>
      <c r="C194">
        <v>24</v>
      </c>
      <c r="D194">
        <v>1683.4079999999999</v>
      </c>
    </row>
    <row r="195" spans="1:4">
      <c r="A195" t="str">
        <f>"11044-EA200"</f>
        <v>11044-EA200</v>
      </c>
      <c r="B195" t="str">
        <f>"Прокладка головки бл"</f>
        <v>Прокладка головки бл</v>
      </c>
      <c r="C195">
        <v>7</v>
      </c>
      <c r="D195">
        <v>816.81599999999992</v>
      </c>
    </row>
    <row r="196" spans="1:4">
      <c r="A196" t="str">
        <f>"11044-EA205"</f>
        <v>11044-EA205</v>
      </c>
      <c r="B196" t="str">
        <f>"Прокладка головки бл"</f>
        <v>Прокладка головки бл</v>
      </c>
      <c r="C196">
        <v>9</v>
      </c>
      <c r="D196">
        <v>813.14400000000001</v>
      </c>
    </row>
    <row r="197" spans="1:4">
      <c r="A197" t="str">
        <f>"11044-EN200"</f>
        <v>11044-EN200</v>
      </c>
      <c r="B197" t="str">
        <f>"Прокладка головки бл"</f>
        <v>Прокладка головки бл</v>
      </c>
      <c r="C197">
        <v>6</v>
      </c>
      <c r="D197">
        <v>973.89599999999996</v>
      </c>
    </row>
    <row r="198" spans="1:4">
      <c r="A198" t="str">
        <f>"11044-ET80A"</f>
        <v>11044-ET80A</v>
      </c>
      <c r="B198" t="str">
        <f>"Прокладка головки бл"</f>
        <v>Прокладка головки бл</v>
      </c>
      <c r="C198">
        <v>0</v>
      </c>
      <c r="D198">
        <v>1010.6159999999999</v>
      </c>
    </row>
    <row r="199" spans="1:4">
      <c r="A199" t="str">
        <f>"11044-VB001"</f>
        <v>11044-VB001</v>
      </c>
      <c r="B199" t="str">
        <f>"GASKET-CYLINDER"</f>
        <v>GASKET-CYLINDER</v>
      </c>
      <c r="C199">
        <v>6</v>
      </c>
      <c r="D199">
        <v>1372.5119999999999</v>
      </c>
    </row>
    <row r="200" spans="1:4">
      <c r="A200" t="str">
        <f>"11044-VB304"</f>
        <v>11044-VB304</v>
      </c>
      <c r="B200" t="str">
        <f>"GASKET-CYLINDER"</f>
        <v>GASKET-CYLINDER</v>
      </c>
      <c r="C200">
        <v>4</v>
      </c>
      <c r="D200">
        <v>1775.2079999999999</v>
      </c>
    </row>
    <row r="201" spans="1:4">
      <c r="A201" t="str">
        <f>"11044-VB305"</f>
        <v>11044-VB305</v>
      </c>
      <c r="B201" t="str">
        <f>"GASKET-CYLINDER"</f>
        <v>GASKET-CYLINDER</v>
      </c>
      <c r="C201">
        <v>4</v>
      </c>
      <c r="D201">
        <v>1789.896</v>
      </c>
    </row>
    <row r="202" spans="1:4">
      <c r="A202" t="str">
        <f>"11044-VC100"</f>
        <v>11044-VC100</v>
      </c>
      <c r="B202" t="str">
        <f>"GASKET-CYLINDER"</f>
        <v>GASKET-CYLINDER</v>
      </c>
      <c r="C202">
        <v>25</v>
      </c>
      <c r="D202">
        <v>1525.9199999999998</v>
      </c>
    </row>
    <row r="203" spans="1:4">
      <c r="A203" t="str">
        <f>"11044-VC101"</f>
        <v>11044-VC101</v>
      </c>
      <c r="B203" t="str">
        <f>"GASKET-CYLINDER"</f>
        <v>GASKET-CYLINDER</v>
      </c>
      <c r="C203">
        <v>19</v>
      </c>
      <c r="D203">
        <v>1530.4079999999999</v>
      </c>
    </row>
    <row r="204" spans="1:4">
      <c r="A204" t="str">
        <f>"11044-VK500"</f>
        <v>11044-VK500</v>
      </c>
      <c r="B204" t="str">
        <f t="shared" ref="B204:B209" si="2">"Прокладка головки бл"</f>
        <v>Прокладка головки бл</v>
      </c>
      <c r="C204">
        <v>4</v>
      </c>
      <c r="D204">
        <v>1324.3680000000002</v>
      </c>
    </row>
    <row r="205" spans="1:4">
      <c r="A205" t="str">
        <f>"11044-VK501"</f>
        <v>11044-VK501</v>
      </c>
      <c r="B205" t="str">
        <f t="shared" si="2"/>
        <v>Прокладка головки бл</v>
      </c>
      <c r="C205">
        <v>5</v>
      </c>
      <c r="D205">
        <v>1349.664</v>
      </c>
    </row>
    <row r="206" spans="1:4">
      <c r="A206" t="str">
        <f>"11044-VK502"</f>
        <v>11044-VK502</v>
      </c>
      <c r="B206" t="str">
        <f t="shared" si="2"/>
        <v>Прокладка головки бл</v>
      </c>
      <c r="C206">
        <v>13</v>
      </c>
      <c r="D206">
        <v>1317.0239999999999</v>
      </c>
    </row>
    <row r="207" spans="1:4">
      <c r="A207" t="str">
        <f>"11044-VK503"</f>
        <v>11044-VK503</v>
      </c>
      <c r="B207" t="str">
        <f t="shared" si="2"/>
        <v>Прокладка головки бл</v>
      </c>
      <c r="C207">
        <v>16</v>
      </c>
      <c r="D207">
        <v>1312.5359999999998</v>
      </c>
    </row>
    <row r="208" spans="1:4">
      <c r="A208" t="str">
        <f>"11044-VK504"</f>
        <v>11044-VK504</v>
      </c>
      <c r="B208" t="str">
        <f t="shared" si="2"/>
        <v>Прокладка головки бл</v>
      </c>
      <c r="C208">
        <v>5</v>
      </c>
      <c r="D208">
        <v>1323.5519999999999</v>
      </c>
    </row>
    <row r="209" spans="1:4">
      <c r="A209" t="str">
        <f>"11044-VK505"</f>
        <v>11044-VK505</v>
      </c>
      <c r="B209" t="str">
        <f t="shared" si="2"/>
        <v>Прокладка головки бл</v>
      </c>
      <c r="C209">
        <v>20</v>
      </c>
      <c r="D209">
        <v>1318.6560000000002</v>
      </c>
    </row>
    <row r="210" spans="1:4">
      <c r="A210" t="str">
        <f>"11056-31U10"</f>
        <v>11056-31U10</v>
      </c>
      <c r="B210" t="str">
        <f>"BOLT-CYLINDER H"</f>
        <v>BOLT-CYLINDER H</v>
      </c>
      <c r="C210">
        <v>10</v>
      </c>
      <c r="D210">
        <v>172.17599999999999</v>
      </c>
    </row>
    <row r="211" spans="1:4">
      <c r="A211" t="str">
        <f>"11056-3Z00A"</f>
        <v>11056-3Z00A</v>
      </c>
      <c r="B211" t="str">
        <f>"Болт головки блока ц"</f>
        <v>Болт головки блока ц</v>
      </c>
      <c r="C211">
        <v>25</v>
      </c>
      <c r="D211">
        <v>148.91999999999999</v>
      </c>
    </row>
    <row r="212" spans="1:4">
      <c r="A212" t="str">
        <f>"11056-4M500"</f>
        <v>11056-4M500</v>
      </c>
      <c r="B212" t="str">
        <f>"BOLT SUBSTANT"</f>
        <v>BOLT SUBSTANT</v>
      </c>
      <c r="C212">
        <v>148</v>
      </c>
      <c r="D212">
        <v>149.73599999999999</v>
      </c>
    </row>
    <row r="213" spans="1:4">
      <c r="A213" t="str">
        <f>"11056-53J01"</f>
        <v>11056-53J01</v>
      </c>
      <c r="B213" t="str">
        <f>"BOLT-CYLINDER H"</f>
        <v>BOLT-CYLINDER H</v>
      </c>
      <c r="C213">
        <v>0</v>
      </c>
      <c r="D213">
        <v>184.82400000000001</v>
      </c>
    </row>
    <row r="214" spans="1:4">
      <c r="A214" t="str">
        <f>"11056-53Y10"</f>
        <v>11056-53Y10</v>
      </c>
      <c r="B214" t="str">
        <f>"Болт головки блока ц"</f>
        <v>Болт головки блока ц</v>
      </c>
      <c r="C214">
        <v>55</v>
      </c>
      <c r="D214">
        <v>164.01599999999999</v>
      </c>
    </row>
    <row r="215" spans="1:4">
      <c r="A215" t="str">
        <f>"11056-5M300"</f>
        <v>11056-5M300</v>
      </c>
      <c r="B215" t="str">
        <f>"BOLT-CYLINDER H"</f>
        <v>BOLT-CYLINDER H</v>
      </c>
      <c r="C215">
        <v>110</v>
      </c>
      <c r="D215">
        <v>175.43999999999997</v>
      </c>
    </row>
    <row r="216" spans="1:4">
      <c r="A216" t="str">
        <f>"11056-AD200"</f>
        <v>11056-AD200</v>
      </c>
      <c r="B216" t="str">
        <f>"BOLT-CYLINDER H"</f>
        <v>BOLT-CYLINDER H</v>
      </c>
      <c r="C216">
        <v>48</v>
      </c>
      <c r="D216">
        <v>136.27199999999999</v>
      </c>
    </row>
    <row r="217" spans="1:4">
      <c r="A217" t="str">
        <f>"11056-AR002"</f>
        <v>11056-AR002</v>
      </c>
      <c r="B217" t="str">
        <f>"Болт головки блока ц"</f>
        <v>Болт головки блока ц</v>
      </c>
      <c r="C217">
        <v>40</v>
      </c>
      <c r="D217">
        <v>182.78399999999999</v>
      </c>
    </row>
    <row r="218" spans="1:4">
      <c r="A218" t="str">
        <f>"11056-AX000"</f>
        <v>11056-AX000</v>
      </c>
      <c r="B218" t="str">
        <f>"BOLT-CYLINDER H"</f>
        <v>BOLT-CYLINDER H</v>
      </c>
      <c r="C218">
        <v>42</v>
      </c>
      <c r="D218">
        <v>102</v>
      </c>
    </row>
    <row r="219" spans="1:4">
      <c r="A219" t="str">
        <f>"11056-EN200"</f>
        <v>11056-EN200</v>
      </c>
      <c r="B219" t="str">
        <f>"Болт головки блока ц"</f>
        <v>Болт головки блока ц</v>
      </c>
      <c r="C219">
        <v>51</v>
      </c>
      <c r="D219">
        <v>172.17599999999999</v>
      </c>
    </row>
    <row r="220" spans="1:4">
      <c r="A220" t="str">
        <f>"11056-V7201"</f>
        <v>11056-V7201</v>
      </c>
      <c r="B220" t="str">
        <f>"BOLT SUBSTANT"</f>
        <v>BOLT SUBSTANT</v>
      </c>
      <c r="C220">
        <v>16</v>
      </c>
      <c r="D220">
        <v>168.50399999999999</v>
      </c>
    </row>
    <row r="221" spans="1:4">
      <c r="A221" t="str">
        <f>"11056-ZB00A"</f>
        <v>11056-ZB00A</v>
      </c>
      <c r="B221" t="str">
        <f>"Болт головки блока ц"</f>
        <v>Болт головки блока ц</v>
      </c>
      <c r="C221">
        <v>5</v>
      </c>
      <c r="D221">
        <v>148.91999999999999</v>
      </c>
    </row>
    <row r="222" spans="1:4">
      <c r="A222" t="str">
        <f>"11057-2W200"</f>
        <v>11057-2W200</v>
      </c>
      <c r="B222" t="str">
        <f>"BOLT-CYLINDER H"</f>
        <v>BOLT-CYLINDER H</v>
      </c>
      <c r="C222">
        <v>156</v>
      </c>
      <c r="D222">
        <v>262.75200000000001</v>
      </c>
    </row>
    <row r="223" spans="1:4">
      <c r="A223" t="str">
        <f>"11059-V0700"</f>
        <v>11059-V0700</v>
      </c>
      <c r="B223" t="str">
        <f>"BOLT"</f>
        <v>BOLT</v>
      </c>
      <c r="C223">
        <v>1</v>
      </c>
      <c r="D223">
        <v>186.864</v>
      </c>
    </row>
    <row r="224" spans="1:4">
      <c r="A224" t="str">
        <f>"11060-BX00A"</f>
        <v>11060-BX00A</v>
      </c>
      <c r="B224" t="str">
        <f>"Горловина заливн"</f>
        <v>Горловина заливн</v>
      </c>
      <c r="C224">
        <v>42</v>
      </c>
      <c r="D224">
        <v>777.64799999999991</v>
      </c>
    </row>
    <row r="225" spans="1:4">
      <c r="A225" t="str">
        <f>"11062-2W200"</f>
        <v>11062-2W200</v>
      </c>
      <c r="B225" t="str">
        <f>"GASKET-WATER OU"</f>
        <v>GASKET-WATER OU</v>
      </c>
      <c r="C225">
        <v>9</v>
      </c>
      <c r="D225">
        <v>59.975999999999992</v>
      </c>
    </row>
    <row r="226" spans="1:4">
      <c r="A226" t="str">
        <f>"11062-6N20A"</f>
        <v>11062-6N20A</v>
      </c>
      <c r="B226" t="str">
        <f>"Прокладка заливной г"</f>
        <v>Прокладка заливной г</v>
      </c>
      <c r="C226">
        <v>6</v>
      </c>
      <c r="D226">
        <v>58.751999999999995</v>
      </c>
    </row>
    <row r="227" spans="1:4">
      <c r="A227" t="str">
        <f>"11062-9C601"</f>
        <v>11062-9C601</v>
      </c>
      <c r="B227" t="str">
        <f>"O-RING WATER OU"</f>
        <v>O-RING WATER OU</v>
      </c>
      <c r="C227">
        <v>1</v>
      </c>
      <c r="D227">
        <v>59.975999999999992</v>
      </c>
    </row>
    <row r="228" spans="1:4">
      <c r="A228" t="str">
        <f>"11062-AL501"</f>
        <v>11062-AL501</v>
      </c>
      <c r="B228" t="str">
        <f>"GASKET OUTLET"</f>
        <v>GASKET OUTLET</v>
      </c>
      <c r="C228">
        <v>22</v>
      </c>
      <c r="D228">
        <v>55.08</v>
      </c>
    </row>
    <row r="229" spans="1:4">
      <c r="A229" t="str">
        <f>"11065-00Q0C"</f>
        <v>11065-00Q0C</v>
      </c>
      <c r="B229" t="str">
        <f>"Свеча накаливани"</f>
        <v>Свеча накаливани</v>
      </c>
      <c r="C229">
        <v>5</v>
      </c>
      <c r="D229">
        <v>1352.5199999999998</v>
      </c>
    </row>
    <row r="230" spans="1:4">
      <c r="A230" t="str">
        <f>"11065-2W204"</f>
        <v>11065-2W204</v>
      </c>
      <c r="B230" t="str">
        <f>"PLUG-GLOW"</f>
        <v>PLUG-GLOW</v>
      </c>
      <c r="C230">
        <v>44</v>
      </c>
      <c r="D230">
        <v>1130.1599999999999</v>
      </c>
    </row>
    <row r="231" spans="1:4">
      <c r="A231" t="str">
        <f>"11065-2W21A"</f>
        <v>11065-2W21A</v>
      </c>
      <c r="B231" t="str">
        <f>"Свеча накаливани"</f>
        <v>Свеча накаливани</v>
      </c>
      <c r="C231">
        <v>74</v>
      </c>
      <c r="D231">
        <v>1186.8719999999998</v>
      </c>
    </row>
    <row r="232" spans="1:4">
      <c r="A232" t="str">
        <f>"11065-31N00"</f>
        <v>11065-31N00</v>
      </c>
      <c r="B232" t="str">
        <f>"PLUG-GLOW"</f>
        <v>PLUG-GLOW</v>
      </c>
      <c r="C232">
        <v>12</v>
      </c>
      <c r="D232">
        <v>1130.1599999999999</v>
      </c>
    </row>
    <row r="233" spans="1:4">
      <c r="A233" t="str">
        <f>"11065-4P40A"</f>
        <v>11065-4P40A</v>
      </c>
      <c r="B233" t="str">
        <f>"Свеча накаливани"</f>
        <v>Свеча накаливани</v>
      </c>
      <c r="C233">
        <v>27</v>
      </c>
      <c r="D233">
        <v>1164.0239999999999</v>
      </c>
    </row>
    <row r="234" spans="1:4">
      <c r="A234" t="str">
        <f>"11065-57J00"</f>
        <v>11065-57J00</v>
      </c>
      <c r="B234" t="str">
        <f>"PLUG-GLOW"</f>
        <v>PLUG-GLOW</v>
      </c>
      <c r="C234">
        <v>4</v>
      </c>
      <c r="D234">
        <v>904.12800000000004</v>
      </c>
    </row>
    <row r="235" spans="1:4">
      <c r="A235" t="str">
        <f>"11065-5C90A"</f>
        <v>11065-5C90A</v>
      </c>
      <c r="B235" t="str">
        <f>"Свеча накаливани"</f>
        <v>Свеча накаливани</v>
      </c>
      <c r="C235">
        <v>4</v>
      </c>
      <c r="D235">
        <v>960.84</v>
      </c>
    </row>
    <row r="236" spans="1:4">
      <c r="A236" t="str">
        <f>"11065-65N0A"</f>
        <v>11065-65N0A</v>
      </c>
      <c r="B236" t="str">
        <f>"Свеча накаливани"</f>
        <v>Свеча накаливани</v>
      </c>
      <c r="C236">
        <v>4</v>
      </c>
      <c r="D236">
        <v>1038.768</v>
      </c>
    </row>
    <row r="237" spans="1:4">
      <c r="A237" t="str">
        <f>"11065-7F400"</f>
        <v>11065-7F400</v>
      </c>
      <c r="B237" t="str">
        <f>"PLUG-GLOW"</f>
        <v>PLUG-GLOW</v>
      </c>
      <c r="C237">
        <v>2</v>
      </c>
      <c r="D237">
        <v>1246.0319999999999</v>
      </c>
    </row>
    <row r="238" spans="1:4">
      <c r="A238" t="str">
        <f>"11065-AD20A"</f>
        <v>11065-AD20A</v>
      </c>
      <c r="B238" t="str">
        <f>"Свеча накаливани"</f>
        <v>Свеча накаливани</v>
      </c>
      <c r="C238">
        <v>8</v>
      </c>
      <c r="D238">
        <v>1017.552</v>
      </c>
    </row>
    <row r="239" spans="1:4">
      <c r="A239" t="str">
        <f>"11065-AD21A"</f>
        <v>11065-AD21A</v>
      </c>
      <c r="B239" t="str">
        <f>"Свеча накаливани"</f>
        <v>Свеча накаливани</v>
      </c>
      <c r="C239">
        <v>12</v>
      </c>
      <c r="D239">
        <v>1074.6719999999998</v>
      </c>
    </row>
    <row r="240" spans="1:4">
      <c r="A240" t="str">
        <f>"11065-MA70A"</f>
        <v>11065-MA70A</v>
      </c>
      <c r="B240" t="str">
        <f>"Свеча накаливани"</f>
        <v>Свеча накаливани</v>
      </c>
      <c r="C240">
        <v>8</v>
      </c>
      <c r="D240">
        <v>1186.8719999999998</v>
      </c>
    </row>
    <row r="241" spans="1:4">
      <c r="A241" t="str">
        <f>"11065-V7202"</f>
        <v>11065-V7202</v>
      </c>
      <c r="B241" t="str">
        <f>"PLUG-GLOW"</f>
        <v>PLUG-GLOW</v>
      </c>
      <c r="C241">
        <v>25</v>
      </c>
      <c r="D241">
        <v>904.12800000000004</v>
      </c>
    </row>
    <row r="242" spans="1:4">
      <c r="A242" t="str">
        <f>"11065-V7203"</f>
        <v>11065-V7203</v>
      </c>
      <c r="B242" t="str">
        <f>"PLUG-GLOW"</f>
        <v>PLUG-GLOW</v>
      </c>
      <c r="C242">
        <v>8</v>
      </c>
      <c r="D242">
        <v>904.12800000000004</v>
      </c>
    </row>
    <row r="243" spans="1:4">
      <c r="A243" t="str">
        <f>"11072-2F000"</f>
        <v>11072-2F000</v>
      </c>
      <c r="B243" t="str">
        <f>"GASKET-THERMOST"</f>
        <v>GASKET-THERMOST</v>
      </c>
      <c r="C243">
        <v>2</v>
      </c>
      <c r="D243">
        <v>119.136</v>
      </c>
    </row>
    <row r="244" spans="1:4">
      <c r="A244" t="str">
        <f>"11072-34N02"</f>
        <v>11072-34N02</v>
      </c>
      <c r="B244" t="str">
        <f>"GASKET-THERMOST"</f>
        <v>GASKET-THERMOST</v>
      </c>
      <c r="C244">
        <v>23</v>
      </c>
      <c r="D244">
        <v>60.384</v>
      </c>
    </row>
    <row r="245" spans="1:4">
      <c r="A245" t="str">
        <f>"11072-4M501"</f>
        <v>11072-4M501</v>
      </c>
      <c r="B245" t="str">
        <f>"GASKET THERMOST"</f>
        <v>GASKET THERMOST</v>
      </c>
      <c r="C245">
        <v>27</v>
      </c>
      <c r="D245">
        <v>79.151999999999987</v>
      </c>
    </row>
    <row r="246" spans="1:4">
      <c r="A246" t="str">
        <f>"11072-MA70A"</f>
        <v>11072-MA70A</v>
      </c>
      <c r="B246" t="str">
        <f>"Прокладка корпуса те"</f>
        <v>Прокладка корпуса те</v>
      </c>
      <c r="C246">
        <v>13</v>
      </c>
      <c r="D246">
        <v>155.44799999999998</v>
      </c>
    </row>
    <row r="247" spans="1:4">
      <c r="A247" t="str">
        <f>"11095-31U0A"</f>
        <v>11095-31U0A</v>
      </c>
      <c r="B247" t="str">
        <f>"Труба свечного колод"</f>
        <v>Труба свечного колод</v>
      </c>
      <c r="C247">
        <v>0</v>
      </c>
      <c r="D247">
        <v>80.783999999999992</v>
      </c>
    </row>
    <row r="248" spans="1:4">
      <c r="A248" t="str">
        <f>"11095-53Y0A"</f>
        <v>11095-53Y0A</v>
      </c>
      <c r="B248" t="str">
        <f>"Труба свечного колод"</f>
        <v>Труба свечного колод</v>
      </c>
      <c r="C248">
        <v>49</v>
      </c>
      <c r="D248">
        <v>79.151999999999987</v>
      </c>
    </row>
    <row r="249" spans="1:4">
      <c r="A249" t="str">
        <f>"11110-1N510"</f>
        <v>11110-1N510</v>
      </c>
      <c r="B249" t="str">
        <f>"PAN ASSY OIL"</f>
        <v>PAN ASSY OIL</v>
      </c>
      <c r="C249">
        <v>3</v>
      </c>
      <c r="D249">
        <v>2715.24</v>
      </c>
    </row>
    <row r="250" spans="1:4">
      <c r="A250" t="str">
        <f>"11110-2Y000"</f>
        <v>11110-2Y000</v>
      </c>
      <c r="B250" t="str">
        <f>"PAN ASSY OIL"</f>
        <v>PAN ASSY OIL</v>
      </c>
      <c r="C250">
        <v>5</v>
      </c>
      <c r="D250">
        <v>3333.36</v>
      </c>
    </row>
    <row r="251" spans="1:4">
      <c r="A251" t="str">
        <f>"11110-6N20A"</f>
        <v>11110-6N20A</v>
      </c>
      <c r="B251" t="str">
        <f>"Поддон картера двига"</f>
        <v>Поддон картера двига</v>
      </c>
      <c r="C251">
        <v>1</v>
      </c>
      <c r="D251">
        <v>5374.1759999999995</v>
      </c>
    </row>
    <row r="252" spans="1:4">
      <c r="A252" t="str">
        <f>"11110-6N211"</f>
        <v>11110-6N211</v>
      </c>
      <c r="B252" t="str">
        <f>"PAN ASSY OIL"</f>
        <v>PAN ASSY OIL</v>
      </c>
      <c r="C252">
        <v>3</v>
      </c>
      <c r="D252">
        <v>2616.5039999999999</v>
      </c>
    </row>
    <row r="253" spans="1:4">
      <c r="A253" t="str">
        <f>"11110-77A12"</f>
        <v>11110-77A12</v>
      </c>
      <c r="B253" t="str">
        <f>"PAN ASSY OIL"</f>
        <v>PAN ASSY OIL</v>
      </c>
      <c r="C253">
        <v>3</v>
      </c>
      <c r="D253">
        <v>4525.5360000000001</v>
      </c>
    </row>
    <row r="254" spans="1:4">
      <c r="A254" t="str">
        <f>"11110-AD210"</f>
        <v>11110-AD210</v>
      </c>
      <c r="B254" t="str">
        <f>"Поддон картера двига"</f>
        <v>Поддон картера двига</v>
      </c>
      <c r="C254">
        <v>2</v>
      </c>
      <c r="D254">
        <v>4399.8719999999994</v>
      </c>
    </row>
    <row r="255" spans="1:4">
      <c r="A255" t="str">
        <f>"11110-BC21B"</f>
        <v>11110-BC21B</v>
      </c>
      <c r="B255" t="str">
        <f>"Поддон картера"</f>
        <v>Поддон картера</v>
      </c>
      <c r="C255">
        <v>0</v>
      </c>
      <c r="D255">
        <v>2306.8319999999999</v>
      </c>
    </row>
    <row r="256" spans="1:4">
      <c r="A256" t="str">
        <f>"11110-CK810"</f>
        <v>11110-CK810</v>
      </c>
      <c r="B256" t="str">
        <f>"Поддон двигателя"</f>
        <v>Поддон двигателя</v>
      </c>
      <c r="C256">
        <v>0</v>
      </c>
      <c r="D256">
        <v>2377.8240000000001</v>
      </c>
    </row>
    <row r="257" spans="1:4">
      <c r="A257" t="str">
        <f>"11110-EB30A"</f>
        <v>11110-EB30A</v>
      </c>
      <c r="B257" t="str">
        <f>"Поддон картера двига"</f>
        <v>Поддон картера двига</v>
      </c>
      <c r="C257">
        <v>3</v>
      </c>
      <c r="D257">
        <v>13929.936</v>
      </c>
    </row>
    <row r="258" spans="1:4">
      <c r="A258" t="str">
        <f>"11110-EB70A"</f>
        <v>11110-EB70A</v>
      </c>
      <c r="B258" t="str">
        <f>"Поддон картера двига"</f>
        <v>Поддон картера двига</v>
      </c>
      <c r="C258">
        <v>13</v>
      </c>
      <c r="D258">
        <v>4015.9439999999995</v>
      </c>
    </row>
    <row r="259" spans="1:4">
      <c r="A259" t="str">
        <f>"11110-VB310"</f>
        <v>11110-VB310</v>
      </c>
      <c r="B259" t="str">
        <f>"PAN ASSY-OIL"</f>
        <v>PAN ASSY-OIL</v>
      </c>
      <c r="C259">
        <v>0</v>
      </c>
      <c r="D259">
        <v>11807.928</v>
      </c>
    </row>
    <row r="260" spans="1:4">
      <c r="A260" t="str">
        <f>"11121-0C400"</f>
        <v>11121-0C400</v>
      </c>
      <c r="B260" t="str">
        <f>"SEAL-OIL PAN FR"</f>
        <v>SEAL-OIL PAN FR</v>
      </c>
      <c r="C260">
        <v>6</v>
      </c>
      <c r="D260">
        <v>121.58399999999999</v>
      </c>
    </row>
    <row r="261" spans="1:4">
      <c r="A261" t="str">
        <f>"11121-0C410"</f>
        <v>11121-0C410</v>
      </c>
      <c r="B261" t="str">
        <f>"SEAL-OIL PAN RE"</f>
        <v>SEAL-OIL PAN RE</v>
      </c>
      <c r="C261">
        <v>7</v>
      </c>
      <c r="D261">
        <v>158.71199999999999</v>
      </c>
    </row>
    <row r="262" spans="1:4">
      <c r="A262" t="str">
        <f>"11121-14Y00"</f>
        <v>11121-14Y00</v>
      </c>
      <c r="B262" t="str">
        <f>"GASKET OIL PAN"</f>
        <v>GASKET OIL PAN</v>
      </c>
      <c r="C262">
        <v>7</v>
      </c>
      <c r="D262">
        <v>158.71199999999999</v>
      </c>
    </row>
    <row r="263" spans="1:4">
      <c r="A263" t="str">
        <f>"11121-14Y10"</f>
        <v>11121-14Y10</v>
      </c>
      <c r="B263" t="str">
        <f>"GASKET OIL PAN"</f>
        <v>GASKET OIL PAN</v>
      </c>
      <c r="C263">
        <v>9</v>
      </c>
      <c r="D263">
        <v>160.34399999999999</v>
      </c>
    </row>
    <row r="264" spans="1:4">
      <c r="A264" t="str">
        <f>"11121-31U00"</f>
        <v>11121-31U00</v>
      </c>
      <c r="B264" t="str">
        <f>"GASKET OIL PAN"</f>
        <v>GASKET OIL PAN</v>
      </c>
      <c r="C264">
        <v>16</v>
      </c>
      <c r="D264">
        <v>157.488</v>
      </c>
    </row>
    <row r="265" spans="1:4">
      <c r="A265" t="str">
        <f>"11121-31U10"</f>
        <v>11121-31U10</v>
      </c>
      <c r="B265" t="str">
        <f>"GASKET OIL PAN"</f>
        <v>GASKET OIL PAN</v>
      </c>
      <c r="C265">
        <v>23</v>
      </c>
      <c r="D265">
        <v>158.30399999999997</v>
      </c>
    </row>
    <row r="266" spans="1:4">
      <c r="A266" t="str">
        <f>"11121-VB301"</f>
        <v>11121-VB301</v>
      </c>
      <c r="B266" t="str">
        <f>"GASKET OIL PAN"</f>
        <v>GASKET OIL PAN</v>
      </c>
      <c r="C266">
        <v>4</v>
      </c>
      <c r="D266">
        <v>1256.2319999999997</v>
      </c>
    </row>
    <row r="267" spans="1:4">
      <c r="A267" t="str">
        <f>"11121-VC300"</f>
        <v>11121-VC300</v>
      </c>
      <c r="B267" t="str">
        <f>"Прокладка поддона ка"</f>
        <v>Прокладка поддона ка</v>
      </c>
      <c r="C267">
        <v>1</v>
      </c>
      <c r="D267">
        <v>244.392</v>
      </c>
    </row>
    <row r="268" spans="1:4">
      <c r="A268" t="str">
        <f>"11128-01M0B"</f>
        <v>11128-01M0B</v>
      </c>
      <c r="B268" t="str">
        <f>"Пробка сливная"</f>
        <v>Пробка сливная</v>
      </c>
      <c r="C268">
        <v>29</v>
      </c>
      <c r="D268">
        <v>97.919999999999987</v>
      </c>
    </row>
    <row r="269" spans="1:4">
      <c r="A269" t="str">
        <f>"11128-9C60A"</f>
        <v>11128-9C60A</v>
      </c>
      <c r="B269" t="str">
        <f>"Пробка сливная"</f>
        <v>Пробка сливная</v>
      </c>
      <c r="C269">
        <v>0</v>
      </c>
      <c r="D269">
        <v>89.759999999999991</v>
      </c>
    </row>
    <row r="270" spans="1:4">
      <c r="A270" t="str">
        <f>"11128-BX000"</f>
        <v>11128-BX000</v>
      </c>
      <c r="B270" t="str">
        <f>"PLUG-DRAIN"</f>
        <v>PLUG-DRAIN</v>
      </c>
      <c r="C270">
        <v>2</v>
      </c>
      <c r="D270">
        <v>108.52799999999999</v>
      </c>
    </row>
    <row r="271" spans="1:4">
      <c r="A271" t="str">
        <f>"11128-BX00A"</f>
        <v>11128-BX00A</v>
      </c>
      <c r="B271" t="str">
        <f>"Пробка сливная"</f>
        <v>Пробка сливная</v>
      </c>
      <c r="C271">
        <v>5</v>
      </c>
      <c r="D271">
        <v>108.52799999999999</v>
      </c>
    </row>
    <row r="272" spans="1:4">
      <c r="A272" t="str">
        <f>"11140-0M301"</f>
        <v>11140-0M301</v>
      </c>
      <c r="B272" t="str">
        <f>"GAUGE-OIL LEVEL"</f>
        <v>GAUGE-OIL LEVEL</v>
      </c>
      <c r="C272">
        <v>15</v>
      </c>
      <c r="D272">
        <v>344.76</v>
      </c>
    </row>
    <row r="273" spans="1:4">
      <c r="A273" t="str">
        <f>"11140-2Y00A"</f>
        <v>11140-2Y00A</v>
      </c>
      <c r="B273" t="str">
        <f>"Щуп уровня масла"</f>
        <v>Щуп уровня масла</v>
      </c>
      <c r="C273">
        <v>7</v>
      </c>
      <c r="D273">
        <v>321.50400000000002</v>
      </c>
    </row>
    <row r="274" spans="1:4">
      <c r="A274" t="str">
        <f>"11140-4M500"</f>
        <v>11140-4M500</v>
      </c>
      <c r="B274" t="str">
        <f>"Щуп уровня масла"</f>
        <v>Щуп уровня масла</v>
      </c>
      <c r="C274">
        <v>31</v>
      </c>
      <c r="D274">
        <v>315.38399999999996</v>
      </c>
    </row>
    <row r="275" spans="1:4">
      <c r="A275" t="str">
        <f>"11140-4Z002"</f>
        <v>11140-4Z002</v>
      </c>
      <c r="B275" t="str">
        <f>"Щуп уровня масла"</f>
        <v>Щуп уровня масла</v>
      </c>
      <c r="C275">
        <v>5</v>
      </c>
      <c r="D275">
        <v>196.24799999999999</v>
      </c>
    </row>
    <row r="276" spans="1:4">
      <c r="A276" t="str">
        <f>"11140-6N200"</f>
        <v>11140-6N200</v>
      </c>
      <c r="B276" t="str">
        <f>"GAUGE OIL LEVEL"</f>
        <v>GAUGE OIL LEVEL</v>
      </c>
      <c r="C276">
        <v>8</v>
      </c>
      <c r="D276">
        <v>316.2</v>
      </c>
    </row>
    <row r="277" spans="1:4">
      <c r="A277" t="str">
        <f>"11140-8J100"</f>
        <v>11140-8J100</v>
      </c>
      <c r="B277" t="str">
        <f>"Щуп уровня масла"</f>
        <v>Щуп уровня масла</v>
      </c>
      <c r="C277">
        <v>6</v>
      </c>
      <c r="D277">
        <v>320.27999999999997</v>
      </c>
    </row>
    <row r="278" spans="1:4">
      <c r="A278" t="str">
        <f>"11140-AM603"</f>
        <v>11140-AM603</v>
      </c>
      <c r="B278" t="str">
        <f>"GAUGE OIL LEVEL"</f>
        <v>GAUGE OIL LEVEL</v>
      </c>
      <c r="C278">
        <v>0</v>
      </c>
      <c r="D278">
        <v>384.74399999999997</v>
      </c>
    </row>
    <row r="279" spans="1:4">
      <c r="A279" t="str">
        <f>"11140-VC10A"</f>
        <v>11140-VC10A</v>
      </c>
      <c r="B279" t="str">
        <f>"Щуп уровня масла"</f>
        <v>Щуп уровня масла</v>
      </c>
      <c r="C279">
        <v>4</v>
      </c>
      <c r="D279">
        <v>312.93599999999998</v>
      </c>
    </row>
    <row r="280" spans="1:4">
      <c r="A280" t="str">
        <f>"11210-0F002"</f>
        <v>11210-0F002</v>
      </c>
      <c r="B280" t="str">
        <f>"INSULATOR-ENGIN"</f>
        <v>INSULATOR-ENGIN</v>
      </c>
      <c r="C280">
        <v>0</v>
      </c>
      <c r="D280">
        <v>2295</v>
      </c>
    </row>
    <row r="281" spans="1:4">
      <c r="A281" t="str">
        <f>"11210-0F003"</f>
        <v>11210-0F003</v>
      </c>
      <c r="B281" t="str">
        <f>"INSULATOR-ENGIN"</f>
        <v>INSULATOR-ENGIN</v>
      </c>
      <c r="C281">
        <v>0</v>
      </c>
      <c r="D281">
        <v>1278.2639999999999</v>
      </c>
    </row>
    <row r="282" spans="1:4">
      <c r="A282" t="str">
        <f>"11210-0M000"</f>
        <v>11210-0M000</v>
      </c>
      <c r="B282" t="str">
        <f>"Подушка двигател"</f>
        <v>Подушка двигател</v>
      </c>
      <c r="C282">
        <v>7</v>
      </c>
      <c r="D282">
        <v>1877.616</v>
      </c>
    </row>
    <row r="283" spans="1:4">
      <c r="A283" t="str">
        <f>"11210-0N000"</f>
        <v>11210-0N000</v>
      </c>
      <c r="B283" t="str">
        <f>"INSULATOR"</f>
        <v>INSULATOR</v>
      </c>
      <c r="C283">
        <v>6</v>
      </c>
      <c r="D283">
        <v>3125.6879999999996</v>
      </c>
    </row>
    <row r="284" spans="1:4">
      <c r="A284" t="str">
        <f>"11210-2F001"</f>
        <v>11210-2F001</v>
      </c>
      <c r="B284" t="str">
        <f>"INSULATOR-ENGIN"</f>
        <v>INSULATOR-ENGIN</v>
      </c>
      <c r="C284">
        <v>4</v>
      </c>
      <c r="D284">
        <v>3510.0239999999999</v>
      </c>
    </row>
    <row r="285" spans="1:4">
      <c r="A285" t="str">
        <f>"11210-2Y01A"</f>
        <v>11210-2Y01A</v>
      </c>
      <c r="B285" t="str">
        <f>"Подушка двигател"</f>
        <v>Подушка двигател</v>
      </c>
      <c r="C285">
        <v>31</v>
      </c>
      <c r="D285">
        <v>2245.6319999999996</v>
      </c>
    </row>
    <row r="286" spans="1:4">
      <c r="A286" t="str">
        <f>"11210-31U1C"</f>
        <v>11210-31U1C</v>
      </c>
      <c r="B286" t="str">
        <f>"Подушка двигател"</f>
        <v>Подушка двигател</v>
      </c>
      <c r="C286">
        <v>2</v>
      </c>
      <c r="D286">
        <v>2399.8560000000002</v>
      </c>
    </row>
    <row r="287" spans="1:4">
      <c r="A287" t="str">
        <f>"11210-41B10"</f>
        <v>11210-41B10</v>
      </c>
      <c r="B287" t="str">
        <f>"INSULATOR"</f>
        <v>INSULATOR</v>
      </c>
      <c r="C287">
        <v>8</v>
      </c>
      <c r="D287">
        <v>2045.3040000000001</v>
      </c>
    </row>
    <row r="288" spans="1:4">
      <c r="A288" t="str">
        <f>"11210-4M71A"</f>
        <v>11210-4M71A</v>
      </c>
      <c r="B288" t="str">
        <f>"Подушка двигател"</f>
        <v>Подушка двигател</v>
      </c>
      <c r="C288">
        <v>3</v>
      </c>
      <c r="D288">
        <v>3887.0159999999996</v>
      </c>
    </row>
    <row r="289" spans="1:4">
      <c r="A289" t="str">
        <f>"11210-6N00A"</f>
        <v>11210-6N00A</v>
      </c>
      <c r="B289" t="str">
        <f>"Подушка двигател"</f>
        <v>Подушка двигател</v>
      </c>
      <c r="C289">
        <v>7</v>
      </c>
      <c r="D289">
        <v>2079.1680000000001</v>
      </c>
    </row>
    <row r="290" spans="1:4">
      <c r="A290" t="str">
        <f>"11210-76N06"</f>
        <v>11210-76N06</v>
      </c>
      <c r="B290" t="str">
        <f>"INSULATOR ASSY"</f>
        <v>INSULATOR ASSY</v>
      </c>
      <c r="C290">
        <v>0</v>
      </c>
      <c r="D290">
        <v>3033.8879999999995</v>
      </c>
    </row>
    <row r="291" spans="1:4">
      <c r="A291" t="str">
        <f>"11210-76N11"</f>
        <v>11210-76N11</v>
      </c>
      <c r="B291" t="str">
        <f>"INSULATOR ASSY"</f>
        <v>INSULATOR ASSY</v>
      </c>
      <c r="C291">
        <v>3</v>
      </c>
      <c r="D291">
        <v>3385.1759999999999</v>
      </c>
    </row>
    <row r="292" spans="1:4">
      <c r="A292" t="str">
        <f>"11210-8H30E"</f>
        <v>11210-8H30E</v>
      </c>
      <c r="B292" t="str">
        <f>"Подушка двигател"</f>
        <v>Подушка двигател</v>
      </c>
      <c r="C292">
        <v>5</v>
      </c>
      <c r="D292">
        <v>3666.6959999999999</v>
      </c>
    </row>
    <row r="293" spans="1:4">
      <c r="A293" t="str">
        <f>"11210-95F0A"</f>
        <v>11210-95F0A</v>
      </c>
      <c r="B293" t="str">
        <f>"Подушка двигател"</f>
        <v>Подушка двигател</v>
      </c>
      <c r="C293">
        <v>3</v>
      </c>
      <c r="D293">
        <v>2145.2640000000001</v>
      </c>
    </row>
    <row r="294" spans="1:4">
      <c r="A294" t="str">
        <f>"11210-99B00"</f>
        <v>11210-99B00</v>
      </c>
      <c r="B294" t="str">
        <f>"INSULATOR-ENGIN"</f>
        <v>INSULATOR-ENGIN</v>
      </c>
      <c r="C294">
        <v>8</v>
      </c>
      <c r="D294">
        <v>2153.8319999999999</v>
      </c>
    </row>
    <row r="295" spans="1:4">
      <c r="A295" t="str">
        <f>"11210-9F600"</f>
        <v>11210-9F600</v>
      </c>
      <c r="B295" t="str">
        <f>"INSULATOR-ENGIN"</f>
        <v>INSULATOR-ENGIN</v>
      </c>
      <c r="C295">
        <v>2</v>
      </c>
      <c r="D295">
        <v>3513.2879999999996</v>
      </c>
    </row>
    <row r="296" spans="1:4">
      <c r="A296" t="str">
        <f>"11210-9U000"</f>
        <v>11210-9U000</v>
      </c>
      <c r="B296" t="str">
        <f t="shared" ref="B296:B309" si="3">"Подушка двигател"</f>
        <v>Подушка двигател</v>
      </c>
      <c r="C296">
        <v>7</v>
      </c>
      <c r="D296">
        <v>2352.9359999999997</v>
      </c>
    </row>
    <row r="297" spans="1:4">
      <c r="A297" t="str">
        <f>"11210-AU40E"</f>
        <v>11210-AU40E</v>
      </c>
      <c r="B297" t="str">
        <f t="shared" si="3"/>
        <v>Подушка двигател</v>
      </c>
      <c r="C297">
        <v>4</v>
      </c>
      <c r="D297">
        <v>2759.3040000000001</v>
      </c>
    </row>
    <row r="298" spans="1:4">
      <c r="A298" t="str">
        <f>"11210-AX60A"</f>
        <v>11210-AX60A</v>
      </c>
      <c r="B298" t="str">
        <f t="shared" si="3"/>
        <v>Подушка двигател</v>
      </c>
      <c r="C298">
        <v>0</v>
      </c>
      <c r="D298">
        <v>4381.92</v>
      </c>
    </row>
    <row r="299" spans="1:4">
      <c r="A299" t="str">
        <f>"11210-CA00B"</f>
        <v>11210-CA00B</v>
      </c>
      <c r="B299" t="str">
        <f t="shared" si="3"/>
        <v>Подушка двигател</v>
      </c>
      <c r="C299">
        <v>31</v>
      </c>
      <c r="D299">
        <v>2454.5279999999998</v>
      </c>
    </row>
    <row r="300" spans="1:4">
      <c r="A300" t="str">
        <f>"11210-CN00A"</f>
        <v>11210-CN00A</v>
      </c>
      <c r="B300" t="str">
        <f t="shared" si="3"/>
        <v>Подушка двигател</v>
      </c>
      <c r="C300">
        <v>7</v>
      </c>
      <c r="D300">
        <v>2456.9760000000001</v>
      </c>
    </row>
    <row r="301" spans="1:4">
      <c r="A301" t="str">
        <f>"11210-JD20B"</f>
        <v>11210-JD20B</v>
      </c>
      <c r="B301" t="str">
        <f t="shared" si="3"/>
        <v>Подушка двигател</v>
      </c>
      <c r="C301">
        <v>37</v>
      </c>
      <c r="D301">
        <v>4931.9039999999995</v>
      </c>
    </row>
    <row r="302" spans="1:4">
      <c r="A302" t="str">
        <f>"11210-JD21B"</f>
        <v>11210-JD21B</v>
      </c>
      <c r="B302" t="str">
        <f t="shared" si="3"/>
        <v>Подушка двигател</v>
      </c>
      <c r="C302">
        <v>32</v>
      </c>
      <c r="D302">
        <v>4031.4479999999999</v>
      </c>
    </row>
    <row r="303" spans="1:4">
      <c r="A303" t="str">
        <f>"11210-JE20B"</f>
        <v>11210-JE20B</v>
      </c>
      <c r="B303" t="str">
        <f t="shared" si="3"/>
        <v>Подушка двигател</v>
      </c>
      <c r="C303">
        <v>2</v>
      </c>
      <c r="D303">
        <v>4725.8639999999996</v>
      </c>
    </row>
    <row r="304" spans="1:4">
      <c r="A304" t="str">
        <f>"11210-JG01D"</f>
        <v>11210-JG01D</v>
      </c>
      <c r="B304" t="str">
        <f t="shared" si="3"/>
        <v>Подушка двигател</v>
      </c>
      <c r="C304">
        <v>0</v>
      </c>
      <c r="D304">
        <v>4979.6399999999994</v>
      </c>
    </row>
    <row r="305" spans="1:4">
      <c r="A305" t="str">
        <f>"11210-VB91A"</f>
        <v>11210-VB91A</v>
      </c>
      <c r="B305" t="str">
        <f t="shared" si="3"/>
        <v>Подушка двигател</v>
      </c>
      <c r="C305">
        <v>11</v>
      </c>
      <c r="D305">
        <v>2392.5119999999997</v>
      </c>
    </row>
    <row r="306" spans="1:4">
      <c r="A306" t="str">
        <f>"11210-WA000"</f>
        <v>11210-WA000</v>
      </c>
      <c r="B306" t="str">
        <f t="shared" si="3"/>
        <v>Подушка двигател</v>
      </c>
      <c r="C306">
        <v>4</v>
      </c>
      <c r="D306">
        <v>3734.424</v>
      </c>
    </row>
    <row r="307" spans="1:4">
      <c r="A307" t="str">
        <f>"11210-WF700"</f>
        <v>11210-WF700</v>
      </c>
      <c r="B307" t="str">
        <f t="shared" si="3"/>
        <v>Подушка двигател</v>
      </c>
      <c r="C307">
        <v>0</v>
      </c>
      <c r="D307">
        <v>3009.8159999999998</v>
      </c>
    </row>
    <row r="308" spans="1:4">
      <c r="A308" t="str">
        <f>"11210-ZK80A"</f>
        <v>11210-ZK80A</v>
      </c>
      <c r="B308" t="str">
        <f t="shared" si="3"/>
        <v>Подушка двигател</v>
      </c>
      <c r="C308">
        <v>17</v>
      </c>
      <c r="D308">
        <v>2456.9760000000001</v>
      </c>
    </row>
    <row r="309" spans="1:4">
      <c r="A309" t="str">
        <f>"11220-1BA0A"</f>
        <v>11220-1BA0A</v>
      </c>
      <c r="B309" t="str">
        <f t="shared" si="3"/>
        <v>Подушка двигател</v>
      </c>
      <c r="C309">
        <v>9</v>
      </c>
      <c r="D309">
        <v>2441.4719999999998</v>
      </c>
    </row>
    <row r="310" spans="1:4">
      <c r="A310" t="str">
        <f>"11220-31U00"</f>
        <v>11220-31U00</v>
      </c>
      <c r="B310" t="str">
        <f>"INSUL ASSY-ENG"</f>
        <v>INSUL ASSY-ENG</v>
      </c>
      <c r="C310">
        <v>1</v>
      </c>
      <c r="D310">
        <v>2384.7599999999998</v>
      </c>
    </row>
    <row r="311" spans="1:4">
      <c r="A311" t="str">
        <f>"11220-40U12"</f>
        <v>11220-40U12</v>
      </c>
      <c r="B311" t="str">
        <f>"INSULATOR"</f>
        <v>INSULATOR</v>
      </c>
      <c r="C311">
        <v>3</v>
      </c>
      <c r="D311">
        <v>2160.768</v>
      </c>
    </row>
    <row r="312" spans="1:4">
      <c r="A312" t="str">
        <f>"11220-5M505"</f>
        <v>11220-5M505</v>
      </c>
      <c r="B312" t="str">
        <f>"INSUL ASSY-ENG"</f>
        <v>INSUL ASSY-ENG</v>
      </c>
      <c r="C312">
        <v>3</v>
      </c>
      <c r="D312">
        <v>2356.6079999999997</v>
      </c>
    </row>
    <row r="313" spans="1:4">
      <c r="A313" t="str">
        <f>"11220-7F001"</f>
        <v>11220-7F001</v>
      </c>
      <c r="B313" t="str">
        <f>"INSULATOR-ENGIN"</f>
        <v>INSULATOR-ENGIN</v>
      </c>
      <c r="C313">
        <v>9</v>
      </c>
      <c r="D313">
        <v>2763.384</v>
      </c>
    </row>
    <row r="314" spans="1:4">
      <c r="A314" t="str">
        <f>"11220-8H300"</f>
        <v>11220-8H300</v>
      </c>
      <c r="B314" t="str">
        <f>"Подушка двигател"</f>
        <v>Подушка двигател</v>
      </c>
      <c r="C314">
        <v>6</v>
      </c>
      <c r="D314">
        <v>2228.4959999999996</v>
      </c>
    </row>
    <row r="315" spans="1:4">
      <c r="A315" t="str">
        <f>"11220-8H310"</f>
        <v>11220-8H310</v>
      </c>
      <c r="B315" t="str">
        <f>"INSULATOR ASSY-"</f>
        <v>INSULATOR ASSY-</v>
      </c>
      <c r="C315">
        <v>8</v>
      </c>
      <c r="D315">
        <v>2453.712</v>
      </c>
    </row>
    <row r="316" spans="1:4">
      <c r="A316" t="str">
        <f>"11220-95F0B"</f>
        <v>11220-95F0B</v>
      </c>
      <c r="B316" t="str">
        <f>"Подушка двигател"</f>
        <v>Подушка двигател</v>
      </c>
      <c r="C316">
        <v>7</v>
      </c>
      <c r="D316">
        <v>2270.9279999999999</v>
      </c>
    </row>
    <row r="317" spans="1:4">
      <c r="A317" t="str">
        <f>"11220-9Y106"</f>
        <v>11220-9Y106</v>
      </c>
      <c r="B317" t="str">
        <f>"Подушка двигател"</f>
        <v>Подушка двигател</v>
      </c>
      <c r="C317">
        <v>14</v>
      </c>
      <c r="D317">
        <v>2106.096</v>
      </c>
    </row>
    <row r="318" spans="1:4">
      <c r="A318" t="str">
        <f>"11220-AM600"</f>
        <v>11220-AM600</v>
      </c>
      <c r="B318" t="str">
        <f>"INSULATOR"</f>
        <v>INSULATOR</v>
      </c>
      <c r="C318">
        <v>2</v>
      </c>
      <c r="D318">
        <v>3400.2719999999999</v>
      </c>
    </row>
    <row r="319" spans="1:4">
      <c r="A319" t="str">
        <f>"11220-AU301"</f>
        <v>11220-AU301</v>
      </c>
      <c r="B319" t="str">
        <f>"Подушка двигател"</f>
        <v>Подушка двигател</v>
      </c>
      <c r="C319">
        <v>10</v>
      </c>
      <c r="D319">
        <v>3032.6639999999998</v>
      </c>
    </row>
    <row r="320" spans="1:4">
      <c r="A320" t="str">
        <f>"11220-AU305"</f>
        <v>11220-AU305</v>
      </c>
      <c r="B320" t="str">
        <f>"INSULATOR ASSY-"</f>
        <v>INSULATOR ASSY-</v>
      </c>
      <c r="C320">
        <v>26</v>
      </c>
      <c r="D320">
        <v>2973.9120000000003</v>
      </c>
    </row>
    <row r="321" spans="1:4">
      <c r="A321" t="str">
        <f>"11220-AX600"</f>
        <v>11220-AX600</v>
      </c>
      <c r="B321" t="str">
        <f>"INSULATOR-ENGIN"</f>
        <v>INSULATOR-ENGIN</v>
      </c>
      <c r="C321">
        <v>4</v>
      </c>
      <c r="D321">
        <v>2153.424</v>
      </c>
    </row>
    <row r="322" spans="1:4">
      <c r="A322" t="str">
        <f>"11220-CA00A"</f>
        <v>11220-CA00A</v>
      </c>
      <c r="B322" t="str">
        <f>"Подушка двигател"</f>
        <v>Подушка двигател</v>
      </c>
      <c r="C322">
        <v>0</v>
      </c>
      <c r="D322">
        <v>2098.3439999999996</v>
      </c>
    </row>
    <row r="323" spans="1:4">
      <c r="A323" t="str">
        <f>"11220-CG110"</f>
        <v>11220-CG110</v>
      </c>
      <c r="B323" t="str">
        <f>"INSULATOR"</f>
        <v>INSULATOR</v>
      </c>
      <c r="C323">
        <v>6</v>
      </c>
      <c r="D323">
        <v>3465.96</v>
      </c>
    </row>
    <row r="324" spans="1:4">
      <c r="A324" t="str">
        <f>"11220-CG20A"</f>
        <v>11220-CG20A</v>
      </c>
      <c r="B324" t="str">
        <f t="shared" ref="B324:B329" si="4">"Подушка двигател"</f>
        <v>Подушка двигател</v>
      </c>
      <c r="C324">
        <v>8</v>
      </c>
      <c r="D324">
        <v>3303.1679999999997</v>
      </c>
    </row>
    <row r="325" spans="1:4">
      <c r="A325" t="str">
        <f>"11220-EB300"</f>
        <v>11220-EB300</v>
      </c>
      <c r="B325" t="str">
        <f t="shared" si="4"/>
        <v>Подушка двигател</v>
      </c>
      <c r="C325">
        <v>6</v>
      </c>
      <c r="D325">
        <v>4197.9120000000003</v>
      </c>
    </row>
    <row r="326" spans="1:4">
      <c r="A326" t="str">
        <f>"11220-EL50A"</f>
        <v>11220-EL50A</v>
      </c>
      <c r="B326" t="str">
        <f t="shared" si="4"/>
        <v>Подушка двигател</v>
      </c>
      <c r="C326">
        <v>2</v>
      </c>
      <c r="D326">
        <v>1337.424</v>
      </c>
    </row>
    <row r="327" spans="1:4">
      <c r="A327" t="str">
        <f>"11220-ET00A"</f>
        <v>11220-ET00A</v>
      </c>
      <c r="B327" t="str">
        <f t="shared" si="4"/>
        <v>Подушка двигател</v>
      </c>
      <c r="C327">
        <v>6</v>
      </c>
      <c r="D327">
        <v>1840.4880000000001</v>
      </c>
    </row>
    <row r="328" spans="1:4">
      <c r="A328" t="str">
        <f>"11220-JD000"</f>
        <v>11220-JD000</v>
      </c>
      <c r="B328" t="str">
        <f t="shared" si="4"/>
        <v>Подушка двигател</v>
      </c>
      <c r="C328">
        <v>2</v>
      </c>
      <c r="D328">
        <v>1899.24</v>
      </c>
    </row>
    <row r="329" spans="1:4">
      <c r="A329" t="str">
        <f>"11220-JD21A"</f>
        <v>11220-JD21A</v>
      </c>
      <c r="B329" t="str">
        <f t="shared" si="4"/>
        <v>Подушка двигател</v>
      </c>
      <c r="C329">
        <v>8</v>
      </c>
      <c r="D329">
        <v>4981.6799999999994</v>
      </c>
    </row>
    <row r="330" spans="1:4">
      <c r="A330" t="str">
        <f>"11220-VB000"</f>
        <v>11220-VB000</v>
      </c>
      <c r="B330" t="str">
        <f>"INSULATOR"</f>
        <v>INSULATOR</v>
      </c>
      <c r="C330">
        <v>4</v>
      </c>
      <c r="D330">
        <v>2134.248</v>
      </c>
    </row>
    <row r="331" spans="1:4">
      <c r="A331" t="str">
        <f>"11220-VB91A"</f>
        <v>11220-VB91A</v>
      </c>
      <c r="B331" t="str">
        <f>"Подушка двигател"</f>
        <v>Подушка двигател</v>
      </c>
      <c r="C331">
        <v>12</v>
      </c>
      <c r="D331">
        <v>2393.7359999999999</v>
      </c>
    </row>
    <row r="332" spans="1:4">
      <c r="A332" t="str">
        <f>"11220-VC000"</f>
        <v>11220-VC000</v>
      </c>
      <c r="B332" t="str">
        <f>"INSULATOR"</f>
        <v>INSULATOR</v>
      </c>
      <c r="C332">
        <v>7</v>
      </c>
      <c r="D332">
        <v>2068.9679999999998</v>
      </c>
    </row>
    <row r="333" spans="1:4">
      <c r="A333" t="str">
        <f>"11220-WF100"</f>
        <v>11220-WF100</v>
      </c>
      <c r="B333" t="str">
        <f>"INSUL ASSY-ENG"</f>
        <v>INSUL ASSY-ENG</v>
      </c>
      <c r="C333">
        <v>14</v>
      </c>
      <c r="D333">
        <v>2507.9760000000001</v>
      </c>
    </row>
    <row r="334" spans="1:4">
      <c r="A334" t="str">
        <f>"11231-AX600"</f>
        <v>11231-AX600</v>
      </c>
      <c r="B334" t="str">
        <f>"Кронштейн двигат"</f>
        <v>Кронштейн двигат</v>
      </c>
      <c r="C334">
        <v>2</v>
      </c>
      <c r="D334">
        <v>2131.3919999999998</v>
      </c>
    </row>
    <row r="335" spans="1:4">
      <c r="A335" t="str">
        <f>"11232-AX60B"</f>
        <v>11232-AX60B</v>
      </c>
      <c r="B335" t="str">
        <f>"Кронштейн двигат"</f>
        <v>Кронштейн двигат</v>
      </c>
      <c r="C335">
        <v>0</v>
      </c>
      <c r="D335">
        <v>1420.2479999999998</v>
      </c>
    </row>
    <row r="336" spans="1:4">
      <c r="A336" t="str">
        <f>"11238-D010A"</f>
        <v>11238-D010A</v>
      </c>
      <c r="B336" t="str">
        <f>"Болт тяги подвес"</f>
        <v>Болт тяги подвес</v>
      </c>
      <c r="C336">
        <v>22</v>
      </c>
      <c r="D336">
        <v>110.568</v>
      </c>
    </row>
    <row r="337" spans="1:4">
      <c r="A337" t="str">
        <f>"11240-4M400"</f>
        <v>11240-4M400</v>
      </c>
      <c r="B337" t="str">
        <f>"MEMBER ASSY-ENG"</f>
        <v>MEMBER ASSY-ENG</v>
      </c>
      <c r="C337">
        <v>4</v>
      </c>
      <c r="D337">
        <v>5169.3599999999997</v>
      </c>
    </row>
    <row r="338" spans="1:4">
      <c r="A338" t="str">
        <f>"11240-8H300"</f>
        <v>11240-8H300</v>
      </c>
      <c r="B338" t="str">
        <f>"MEMBER ASSY"</f>
        <v>MEMBER ASSY</v>
      </c>
      <c r="C338">
        <v>1</v>
      </c>
      <c r="D338">
        <v>7919.2799999999988</v>
      </c>
    </row>
    <row r="339" spans="1:4">
      <c r="A339" t="str">
        <f>"11240-95F0A"</f>
        <v>11240-95F0A</v>
      </c>
      <c r="B339" t="str">
        <f>"Балка подмоторна"</f>
        <v>Балка подмоторна</v>
      </c>
      <c r="C339">
        <v>1</v>
      </c>
      <c r="D339">
        <v>3876</v>
      </c>
    </row>
    <row r="340" spans="1:4">
      <c r="A340" t="str">
        <f>"11240-AV300"</f>
        <v>11240-AV300</v>
      </c>
      <c r="B340" t="str">
        <f>"MEMBER ASSY-ENG"</f>
        <v>MEMBER ASSY-ENG</v>
      </c>
      <c r="C340">
        <v>4</v>
      </c>
      <c r="D340">
        <v>10298.328</v>
      </c>
    </row>
    <row r="341" spans="1:4">
      <c r="A341" t="str">
        <f>"11248-40U01"</f>
        <v>11248-40U01</v>
      </c>
      <c r="B341" t="str">
        <f>"PAD-ENGINE MOUN"</f>
        <v>PAD-ENGINE MOUN</v>
      </c>
      <c r="C341">
        <v>2</v>
      </c>
      <c r="D341">
        <v>116.68799999999999</v>
      </c>
    </row>
    <row r="342" spans="1:4">
      <c r="A342" t="str">
        <f>"11248-51E01"</f>
        <v>11248-51E01</v>
      </c>
      <c r="B342" t="str">
        <f>"PAD"</f>
        <v>PAD</v>
      </c>
      <c r="C342">
        <v>14</v>
      </c>
      <c r="D342">
        <v>110.976</v>
      </c>
    </row>
    <row r="343" spans="1:4">
      <c r="A343" t="str">
        <f>"11248-51E09"</f>
        <v>11248-51E09</v>
      </c>
      <c r="B343" t="str">
        <f>"PAD"</f>
        <v>PAD</v>
      </c>
      <c r="C343">
        <v>13</v>
      </c>
      <c r="D343">
        <v>188.90399999999997</v>
      </c>
    </row>
    <row r="344" spans="1:4">
      <c r="A344" t="str">
        <f>"11253-AX610"</f>
        <v>11253-AX610</v>
      </c>
      <c r="B344" t="str">
        <f>"Кронштейн двигат"</f>
        <v>Кронштейн двигат</v>
      </c>
      <c r="C344">
        <v>11</v>
      </c>
      <c r="D344">
        <v>2121.6</v>
      </c>
    </row>
    <row r="345" spans="1:4">
      <c r="A345" t="str">
        <f>"11253-ED000"</f>
        <v>11253-ED000</v>
      </c>
      <c r="B345" t="str">
        <f>"Кронштейн двигат"</f>
        <v>Кронштейн двигат</v>
      </c>
      <c r="C345">
        <v>10</v>
      </c>
      <c r="D345">
        <v>1367.616</v>
      </c>
    </row>
    <row r="346" spans="1:4">
      <c r="A346" t="str">
        <f>"11253-EL21A"</f>
        <v>11253-EL21A</v>
      </c>
      <c r="B346" t="str">
        <f>"Кронштейн двигат"</f>
        <v>Кронштейн двигат</v>
      </c>
      <c r="C346">
        <v>6</v>
      </c>
      <c r="D346">
        <v>1037.952</v>
      </c>
    </row>
    <row r="347" spans="1:4">
      <c r="A347" t="str">
        <f>"11253-JD00A"</f>
        <v>11253-JD00A</v>
      </c>
      <c r="B347" t="str">
        <f>"Кронштейн двигат"</f>
        <v>Кронштейн двигат</v>
      </c>
      <c r="C347">
        <v>0</v>
      </c>
      <c r="D347">
        <v>1295.3999999999999</v>
      </c>
    </row>
    <row r="348" spans="1:4">
      <c r="A348" t="str">
        <f>"11254-AX600"</f>
        <v>11254-AX600</v>
      </c>
      <c r="B348" t="str">
        <f>"SUPPORT-ENGINE"</f>
        <v>SUPPORT-ENGINE</v>
      </c>
      <c r="C348">
        <v>21</v>
      </c>
      <c r="D348">
        <v>3104.88</v>
      </c>
    </row>
    <row r="349" spans="1:4">
      <c r="A349" t="str">
        <f>"11258-D0101"</f>
        <v>11258-D0101</v>
      </c>
      <c r="B349" t="str">
        <f>"NUT"</f>
        <v>NUT</v>
      </c>
      <c r="C349">
        <v>12</v>
      </c>
      <c r="D349">
        <v>88.536000000000001</v>
      </c>
    </row>
    <row r="350" spans="1:4">
      <c r="A350" t="str">
        <f>"11270-2F305"</f>
        <v>11270-2F305</v>
      </c>
      <c r="B350" t="str">
        <f>"INSULATOR ASSY-"</f>
        <v>INSULATOR ASSY-</v>
      </c>
      <c r="C350">
        <v>2</v>
      </c>
      <c r="D350">
        <v>2057.5439999999999</v>
      </c>
    </row>
    <row r="351" spans="1:4">
      <c r="A351" t="str">
        <f>"11270-2Y01C"</f>
        <v>11270-2Y01C</v>
      </c>
      <c r="B351" t="str">
        <f>"Подушка двигател"</f>
        <v>Подушка двигател</v>
      </c>
      <c r="C351">
        <v>19</v>
      </c>
      <c r="D351">
        <v>5408.04</v>
      </c>
    </row>
    <row r="352" spans="1:4">
      <c r="A352" t="str">
        <f>"11270-40U03"</f>
        <v>11270-40U03</v>
      </c>
      <c r="B352" t="str">
        <f>"INSULATOR ASSY"</f>
        <v>INSULATOR ASSY</v>
      </c>
      <c r="C352">
        <v>5</v>
      </c>
      <c r="D352">
        <v>3429.6479999999997</v>
      </c>
    </row>
    <row r="353" spans="1:4">
      <c r="A353" t="str">
        <f>"11270-4U000"</f>
        <v>11270-4U000</v>
      </c>
      <c r="B353" t="str">
        <f>"Подушка двигател"</f>
        <v>Подушка двигател</v>
      </c>
      <c r="C353">
        <v>8</v>
      </c>
      <c r="D353">
        <v>1973.4959999999999</v>
      </c>
    </row>
    <row r="354" spans="1:4">
      <c r="A354" t="str">
        <f>"11270-5V000"</f>
        <v>11270-5V000</v>
      </c>
      <c r="B354" t="str">
        <f>"INSULATOR ASSY"</f>
        <v>INSULATOR ASSY</v>
      </c>
      <c r="C354">
        <v>3</v>
      </c>
      <c r="D354">
        <v>1842.9359999999999</v>
      </c>
    </row>
    <row r="355" spans="1:4">
      <c r="A355" t="str">
        <f>"11270-8H300"</f>
        <v>11270-8H300</v>
      </c>
      <c r="B355" t="str">
        <f>"INSULATOR ASSY-"</f>
        <v>INSULATOR ASSY-</v>
      </c>
      <c r="C355">
        <v>33</v>
      </c>
      <c r="D355">
        <v>1859.664</v>
      </c>
    </row>
    <row r="356" spans="1:4">
      <c r="A356" t="str">
        <f>"11270-8H310"</f>
        <v>11270-8H310</v>
      </c>
      <c r="B356" t="str">
        <f>"INSULATOR ASSY-"</f>
        <v>INSULATOR ASSY-</v>
      </c>
      <c r="C356">
        <v>26</v>
      </c>
      <c r="D356">
        <v>1874.7599999999998</v>
      </c>
    </row>
    <row r="357" spans="1:4">
      <c r="A357" t="str">
        <f>"11270-8J10A"</f>
        <v>11270-8J10A</v>
      </c>
      <c r="B357" t="str">
        <f>"Подушка двигател"</f>
        <v>Подушка двигател</v>
      </c>
      <c r="C357">
        <v>13</v>
      </c>
      <c r="D357">
        <v>6930.6959999999999</v>
      </c>
    </row>
    <row r="358" spans="1:4">
      <c r="A358" t="str">
        <f>"11270-95F0A"</f>
        <v>11270-95F0A</v>
      </c>
      <c r="B358" t="str">
        <f>"Подушка двигател"</f>
        <v>Подушка двигател</v>
      </c>
      <c r="C358">
        <v>10</v>
      </c>
      <c r="D358">
        <v>1927.3920000000001</v>
      </c>
    </row>
    <row r="359" spans="1:4">
      <c r="A359" t="str">
        <f>"11270-BM500"</f>
        <v>11270-BM500</v>
      </c>
      <c r="B359" t="str">
        <f>"INSULATOR ASSY-"</f>
        <v>INSULATOR ASSY-</v>
      </c>
      <c r="C359">
        <v>9</v>
      </c>
      <c r="D359">
        <v>2616.096</v>
      </c>
    </row>
    <row r="360" spans="1:4">
      <c r="A360" t="str">
        <f>"11270-BU000"</f>
        <v>11270-BU000</v>
      </c>
      <c r="B360" t="str">
        <f>"INSULATOR ASSY-"</f>
        <v>INSULATOR ASSY-</v>
      </c>
      <c r="C360">
        <v>24</v>
      </c>
      <c r="D360">
        <v>2642.6159999999995</v>
      </c>
    </row>
    <row r="361" spans="1:4">
      <c r="A361" t="str">
        <f>"11270-CN101"</f>
        <v>11270-CN101</v>
      </c>
      <c r="B361" t="str">
        <f>"Подушка двигател"</f>
        <v>Подушка двигател</v>
      </c>
      <c r="C361">
        <v>51</v>
      </c>
      <c r="D361">
        <v>6140.808</v>
      </c>
    </row>
    <row r="362" spans="1:4">
      <c r="A362" t="str">
        <f>"11270-CN20B"</f>
        <v>11270-CN20B</v>
      </c>
      <c r="B362" t="str">
        <f>"Подушка двигател"</f>
        <v>Подушка двигател</v>
      </c>
      <c r="C362">
        <v>14</v>
      </c>
      <c r="D362">
        <v>7736.4959999999992</v>
      </c>
    </row>
    <row r="363" spans="1:4">
      <c r="A363" t="str">
        <f>"11270-JN00C"</f>
        <v>11270-JN00C</v>
      </c>
      <c r="B363" t="str">
        <f>"Подушка двигател"</f>
        <v>Подушка двигател</v>
      </c>
      <c r="C363">
        <v>3</v>
      </c>
      <c r="D363">
        <v>3424.3439999999996</v>
      </c>
    </row>
    <row r="364" spans="1:4">
      <c r="A364" t="str">
        <f>"11271-70J01"</f>
        <v>11271-70J01</v>
      </c>
      <c r="B364" t="str">
        <f>"INSULATOR-ENGIN"</f>
        <v>INSULATOR-ENGIN</v>
      </c>
      <c r="C364">
        <v>9</v>
      </c>
      <c r="D364">
        <v>1879.2479999999998</v>
      </c>
    </row>
    <row r="365" spans="1:4">
      <c r="A365" t="str">
        <f>"11274-BM500"</f>
        <v>11274-BM500</v>
      </c>
      <c r="B365" t="str">
        <f>"BRACKET-ENGINE"</f>
        <v>BRACKET-ENGINE</v>
      </c>
      <c r="C365">
        <v>6</v>
      </c>
      <c r="D365">
        <v>855.57600000000002</v>
      </c>
    </row>
    <row r="366" spans="1:4">
      <c r="A366" t="str">
        <f>"11296-AG000"</f>
        <v>11296-AG000</v>
      </c>
      <c r="B366" t="str">
        <f>"CLIP"</f>
        <v>CLIP</v>
      </c>
      <c r="C366">
        <v>0</v>
      </c>
      <c r="D366">
        <v>36.311999999999998</v>
      </c>
    </row>
    <row r="367" spans="1:4">
      <c r="A367" t="str">
        <f>"11298-40U01"</f>
        <v>11298-40U01</v>
      </c>
      <c r="B367" t="str">
        <f>"BOLT"</f>
        <v>BOLT</v>
      </c>
      <c r="C367">
        <v>5</v>
      </c>
      <c r="D367">
        <v>137.904</v>
      </c>
    </row>
    <row r="368" spans="1:4">
      <c r="A368" t="str">
        <f>"11298-4M420"</f>
        <v>11298-4M420</v>
      </c>
      <c r="B368" t="str">
        <f>"BOLT"</f>
        <v>BOLT</v>
      </c>
      <c r="C368">
        <v>4</v>
      </c>
      <c r="D368">
        <v>103.63199999999999</v>
      </c>
    </row>
    <row r="369" spans="1:4">
      <c r="A369" t="str">
        <f>"11320-06J00"</f>
        <v>11320-06J00</v>
      </c>
      <c r="B369" t="str">
        <f>"INSULATOR"</f>
        <v>INSULATOR</v>
      </c>
      <c r="C369">
        <v>12</v>
      </c>
      <c r="D369">
        <v>2018.376</v>
      </c>
    </row>
    <row r="370" spans="1:4">
      <c r="A370" t="str">
        <f>"11320-0F001"</f>
        <v>11320-0F001</v>
      </c>
      <c r="B370" t="str">
        <f>"INSULATOR-ENGIN"</f>
        <v>INSULATOR-ENGIN</v>
      </c>
      <c r="C370">
        <v>11</v>
      </c>
      <c r="D370">
        <v>3931.8959999999997</v>
      </c>
    </row>
    <row r="371" spans="1:4">
      <c r="A371" t="str">
        <f>"11320-0M002"</f>
        <v>11320-0M002</v>
      </c>
      <c r="B371" t="str">
        <f>"INSULATOR"</f>
        <v>INSULATOR</v>
      </c>
      <c r="C371">
        <v>2</v>
      </c>
      <c r="D371">
        <v>1928.2079999999999</v>
      </c>
    </row>
    <row r="372" spans="1:4">
      <c r="A372" t="str">
        <f>"11320-0M902"</f>
        <v>11320-0M902</v>
      </c>
      <c r="B372" t="str">
        <f>"INSULATOR"</f>
        <v>INSULATOR</v>
      </c>
      <c r="C372">
        <v>1</v>
      </c>
      <c r="D372">
        <v>1483.896</v>
      </c>
    </row>
    <row r="373" spans="1:4">
      <c r="A373" t="str">
        <f>"11320-2F221"</f>
        <v>11320-2F221</v>
      </c>
      <c r="B373" t="str">
        <f>"INSULATOR-ENGIN"</f>
        <v>INSULATOR-ENGIN</v>
      </c>
      <c r="C373">
        <v>8</v>
      </c>
      <c r="D373">
        <v>2282.3519999999999</v>
      </c>
    </row>
    <row r="374" spans="1:4">
      <c r="A374" t="str">
        <f>"11320-2F320"</f>
        <v>11320-2F320</v>
      </c>
      <c r="B374" t="str">
        <f>"INSULATOR"</f>
        <v>INSULATOR</v>
      </c>
      <c r="C374">
        <v>9</v>
      </c>
      <c r="D374">
        <v>2064.0719999999997</v>
      </c>
    </row>
    <row r="375" spans="1:4">
      <c r="A375" t="str">
        <f>"11320-2Y00B"</f>
        <v>11320-2Y00B</v>
      </c>
      <c r="B375" t="str">
        <f>"Подушка двигател"</f>
        <v>Подушка двигател</v>
      </c>
      <c r="C375">
        <v>10</v>
      </c>
      <c r="D375">
        <v>5380.2959999999994</v>
      </c>
    </row>
    <row r="376" spans="1:4">
      <c r="A376" t="str">
        <f>"11320-31G0A"</f>
        <v>11320-31G0A</v>
      </c>
      <c r="B376" t="str">
        <f>"Подушка двигател"</f>
        <v>Подушка двигател</v>
      </c>
      <c r="C376">
        <v>3</v>
      </c>
      <c r="D376">
        <v>2084.4719999999998</v>
      </c>
    </row>
    <row r="377" spans="1:4">
      <c r="A377" t="str">
        <f>"11320-40U01"</f>
        <v>11320-40U01</v>
      </c>
      <c r="B377" t="str">
        <f>"INSULATOR"</f>
        <v>INSULATOR</v>
      </c>
      <c r="C377">
        <v>5</v>
      </c>
      <c r="D377">
        <v>3310.1039999999998</v>
      </c>
    </row>
    <row r="378" spans="1:4">
      <c r="A378" t="str">
        <f>"11320-44B01"</f>
        <v>11320-44B01</v>
      </c>
      <c r="B378" t="str">
        <f>"Подушка двигател"</f>
        <v>Подушка двигател</v>
      </c>
      <c r="C378">
        <v>0</v>
      </c>
      <c r="D378">
        <v>1210.5359999999998</v>
      </c>
    </row>
    <row r="379" spans="1:4">
      <c r="A379" t="str">
        <f>"11320-4M400"</f>
        <v>11320-4M400</v>
      </c>
      <c r="B379" t="str">
        <f>"INSULATOR"</f>
        <v>INSULATOR</v>
      </c>
      <c r="C379">
        <v>1</v>
      </c>
      <c r="D379">
        <v>2013.48</v>
      </c>
    </row>
    <row r="380" spans="1:4">
      <c r="A380" t="str">
        <f>"11320-50Y11"</f>
        <v>11320-50Y11</v>
      </c>
      <c r="B380" t="str">
        <f>"INSULATOR"</f>
        <v>INSULATOR</v>
      </c>
      <c r="C380">
        <v>3</v>
      </c>
      <c r="D380">
        <v>1984.5119999999999</v>
      </c>
    </row>
    <row r="381" spans="1:4">
      <c r="A381" t="str">
        <f>"11320-5U101"</f>
        <v>11320-5U101</v>
      </c>
      <c r="B381" t="str">
        <f>"Подушка двигател"</f>
        <v>Подушка двигател</v>
      </c>
      <c r="C381">
        <v>12</v>
      </c>
      <c r="D381">
        <v>2174.232</v>
      </c>
    </row>
    <row r="382" spans="1:4">
      <c r="A382" t="str">
        <f>"11320-5V500"</f>
        <v>11320-5V500</v>
      </c>
      <c r="B382" t="str">
        <f>"INSULATOR"</f>
        <v>INSULATOR</v>
      </c>
      <c r="C382">
        <v>26</v>
      </c>
      <c r="D382">
        <v>2111.4</v>
      </c>
    </row>
    <row r="383" spans="1:4">
      <c r="A383" t="str">
        <f>"11320-70N00"</f>
        <v>11320-70N00</v>
      </c>
      <c r="B383" t="str">
        <f>"INSULATOR"</f>
        <v>INSULATOR</v>
      </c>
      <c r="C383">
        <v>2</v>
      </c>
      <c r="D383">
        <v>1682.184</v>
      </c>
    </row>
    <row r="384" spans="1:4">
      <c r="A384" t="str">
        <f>"11320-70N10"</f>
        <v>11320-70N10</v>
      </c>
      <c r="B384" t="str">
        <f>"INSULATOR"</f>
        <v>INSULATOR</v>
      </c>
      <c r="C384">
        <v>2</v>
      </c>
      <c r="D384">
        <v>1628.328</v>
      </c>
    </row>
    <row r="385" spans="1:4">
      <c r="A385" t="str">
        <f>"11320-76N00"</f>
        <v>11320-76N00</v>
      </c>
      <c r="B385" t="str">
        <f>"INSULATOR"</f>
        <v>INSULATOR</v>
      </c>
      <c r="C385">
        <v>6</v>
      </c>
      <c r="D385">
        <v>1815.6</v>
      </c>
    </row>
    <row r="386" spans="1:4">
      <c r="A386" t="str">
        <f>"11320-7F000"</f>
        <v>11320-7F000</v>
      </c>
      <c r="B386" t="str">
        <f>"INSULATOR-ENGIN"</f>
        <v>INSULATOR-ENGIN</v>
      </c>
      <c r="C386">
        <v>0</v>
      </c>
      <c r="D386">
        <v>2594.4719999999998</v>
      </c>
    </row>
    <row r="387" spans="1:4">
      <c r="A387" t="str">
        <f>"11320-8H800"</f>
        <v>11320-8H800</v>
      </c>
      <c r="B387" t="str">
        <f>"INSULATOR-ENGIN"</f>
        <v>INSULATOR-ENGIN</v>
      </c>
      <c r="C387">
        <v>20</v>
      </c>
      <c r="D387">
        <v>4629.1679999999997</v>
      </c>
    </row>
    <row r="388" spans="1:4">
      <c r="A388" t="str">
        <f>"11320-8Y101"</f>
        <v>11320-8Y101</v>
      </c>
      <c r="B388" t="str">
        <f>"Подушка двигател"</f>
        <v>Подушка двигател</v>
      </c>
      <c r="C388">
        <v>33</v>
      </c>
      <c r="D388">
        <v>6300.3359999999993</v>
      </c>
    </row>
    <row r="389" spans="1:4">
      <c r="A389" t="str">
        <f>"11320-93J00"</f>
        <v>11320-93J00</v>
      </c>
      <c r="B389" t="str">
        <f>"INSULATOR-ENGIN"</f>
        <v>INSULATOR-ENGIN</v>
      </c>
      <c r="C389">
        <v>6</v>
      </c>
      <c r="D389">
        <v>2837.232</v>
      </c>
    </row>
    <row r="390" spans="1:4">
      <c r="A390" t="str">
        <f>"11320-95F0A"</f>
        <v>11320-95F0A</v>
      </c>
      <c r="B390" t="str">
        <f>"Подушка двигател"</f>
        <v>Подушка двигател</v>
      </c>
      <c r="C390">
        <v>7</v>
      </c>
      <c r="D390">
        <v>2008.992</v>
      </c>
    </row>
    <row r="391" spans="1:4">
      <c r="A391" t="str">
        <f>"11320-99B11"</f>
        <v>11320-99B11</v>
      </c>
      <c r="B391" t="str">
        <f>"INSULATOR-ENGIN"</f>
        <v>INSULATOR-ENGIN</v>
      </c>
      <c r="C391">
        <v>2</v>
      </c>
      <c r="D391">
        <v>2168.52</v>
      </c>
    </row>
    <row r="392" spans="1:4">
      <c r="A392" t="str">
        <f>"11320-AD001"</f>
        <v>11320-AD001</v>
      </c>
      <c r="B392" t="str">
        <f>"INSULATOR"</f>
        <v>INSULATOR</v>
      </c>
      <c r="C392">
        <v>7</v>
      </c>
      <c r="D392">
        <v>2082.0239999999999</v>
      </c>
    </row>
    <row r="393" spans="1:4">
      <c r="A393" t="str">
        <f>"11320-AU405"</f>
        <v>11320-AU405</v>
      </c>
      <c r="B393" t="str">
        <f>"INSULATOR-ENGIN"</f>
        <v>INSULATOR-ENGIN</v>
      </c>
      <c r="C393">
        <v>16</v>
      </c>
      <c r="D393">
        <v>2528.3759999999997</v>
      </c>
    </row>
    <row r="394" spans="1:4">
      <c r="A394" t="str">
        <f>"11320-BN301"</f>
        <v>11320-BN301</v>
      </c>
      <c r="B394" t="str">
        <f>"INSULATOR-ENGIN"</f>
        <v>INSULATOR-ENGIN</v>
      </c>
      <c r="C394">
        <v>30</v>
      </c>
      <c r="D394">
        <v>3131.4</v>
      </c>
    </row>
    <row r="395" spans="1:4">
      <c r="A395" t="str">
        <f>"11320-CA01E"</f>
        <v>11320-CA01E</v>
      </c>
      <c r="B395" t="str">
        <f>"Подушка двигател"</f>
        <v>Подушка двигател</v>
      </c>
      <c r="C395">
        <v>5</v>
      </c>
      <c r="D395">
        <v>7016.7839999999997</v>
      </c>
    </row>
    <row r="396" spans="1:4">
      <c r="A396" t="str">
        <f>"11320-CA110"</f>
        <v>11320-CA110</v>
      </c>
      <c r="B396" t="str">
        <f>"Подушка двигател"</f>
        <v>Подушка двигател</v>
      </c>
      <c r="C396">
        <v>3</v>
      </c>
      <c r="D396">
        <v>2521.0320000000002</v>
      </c>
    </row>
    <row r="397" spans="1:4">
      <c r="A397" t="str">
        <f>"11320-JR70D"</f>
        <v>11320-JR70D</v>
      </c>
      <c r="B397" t="str">
        <f>"Подушка двигател"</f>
        <v>Подушка двигател</v>
      </c>
      <c r="C397">
        <v>1</v>
      </c>
      <c r="D397">
        <v>2403.9359999999997</v>
      </c>
    </row>
    <row r="398" spans="1:4">
      <c r="A398" t="str">
        <f>"11320-VB91A"</f>
        <v>11320-VB91A</v>
      </c>
      <c r="B398" t="str">
        <f>"Подушка двигател"</f>
        <v>Подушка двигател</v>
      </c>
      <c r="C398">
        <v>5</v>
      </c>
      <c r="D398">
        <v>2077.1280000000002</v>
      </c>
    </row>
    <row r="399" spans="1:4">
      <c r="A399" t="str">
        <f>"11350-41B00"</f>
        <v>11350-41B00</v>
      </c>
      <c r="B399" t="str">
        <f>"BUFFER ASSY"</f>
        <v>BUFFER ASSY</v>
      </c>
      <c r="C399">
        <v>5</v>
      </c>
      <c r="D399">
        <v>1055.904</v>
      </c>
    </row>
    <row r="400" spans="1:4">
      <c r="A400" t="str">
        <f>"11350-50Y00"</f>
        <v>11350-50Y00</v>
      </c>
      <c r="B400" t="str">
        <f>"BUFFER ASSY-A"</f>
        <v>BUFFER ASSY-A</v>
      </c>
      <c r="C400">
        <v>2</v>
      </c>
      <c r="D400">
        <v>1053.864</v>
      </c>
    </row>
    <row r="401" spans="1:4">
      <c r="A401" t="str">
        <f>"11350-76E10"</f>
        <v>11350-76E10</v>
      </c>
      <c r="B401" t="str">
        <f>"INSULATOR"</f>
        <v>INSULATOR</v>
      </c>
      <c r="C401">
        <v>2</v>
      </c>
      <c r="D401">
        <v>1938.816</v>
      </c>
    </row>
    <row r="402" spans="1:4">
      <c r="A402" t="str">
        <f>"11350-EL00A"</f>
        <v>11350-EL00A</v>
      </c>
      <c r="B402" t="str">
        <f>"Тяга крепления двига"</f>
        <v>Тяга крепления двига</v>
      </c>
      <c r="C402">
        <v>0</v>
      </c>
      <c r="D402">
        <v>2381.4959999999996</v>
      </c>
    </row>
    <row r="403" spans="1:4">
      <c r="A403" t="str">
        <f>"11350-JP00B"</f>
        <v>11350-JP00B</v>
      </c>
      <c r="B403" t="str">
        <f>"Подушка двигател"</f>
        <v>Подушка двигател</v>
      </c>
      <c r="C403">
        <v>7</v>
      </c>
      <c r="D403">
        <v>2878.848</v>
      </c>
    </row>
    <row r="404" spans="1:4">
      <c r="A404" t="str">
        <f>"11360-9U000"</f>
        <v>11360-9U000</v>
      </c>
      <c r="B404" t="str">
        <f>"Подушка двигател"</f>
        <v>Подушка двигател</v>
      </c>
      <c r="C404">
        <v>11</v>
      </c>
      <c r="D404">
        <v>2270.1120000000001</v>
      </c>
    </row>
    <row r="405" spans="1:4">
      <c r="A405" t="str">
        <f>"11360-AX600"</f>
        <v>11360-AX600</v>
      </c>
      <c r="B405" t="str">
        <f>"BUFFER ASSY-ENG"</f>
        <v>BUFFER ASSY-ENG</v>
      </c>
      <c r="C405">
        <v>14</v>
      </c>
      <c r="D405">
        <v>2149.752</v>
      </c>
    </row>
    <row r="406" spans="1:4">
      <c r="A406" t="str">
        <f>"11360-EL00A"</f>
        <v>11360-EL00A</v>
      </c>
      <c r="B406" t="str">
        <f>"Подушка двигател"</f>
        <v>Подушка двигател</v>
      </c>
      <c r="C406">
        <v>0</v>
      </c>
      <c r="D406">
        <v>1498.992</v>
      </c>
    </row>
    <row r="407" spans="1:4">
      <c r="A407" t="str">
        <f>"11360-JD00A"</f>
        <v>11360-JD00A</v>
      </c>
      <c r="B407" t="str">
        <f>"Тяга крепления двига"</f>
        <v>Тяга крепления двига</v>
      </c>
      <c r="C407">
        <v>16</v>
      </c>
      <c r="D407">
        <v>2075.0879999999997</v>
      </c>
    </row>
    <row r="408" spans="1:4">
      <c r="A408" t="str">
        <f>"11360-JD01B"</f>
        <v>11360-JD01B</v>
      </c>
      <c r="B408" t="str">
        <f>"Тяга крепления двига"</f>
        <v>Тяга крепления двига</v>
      </c>
      <c r="C408">
        <v>12</v>
      </c>
      <c r="D408">
        <v>2121.192</v>
      </c>
    </row>
    <row r="409" spans="1:4">
      <c r="A409" t="str">
        <f>"11375-VB000"</f>
        <v>11375-VB000</v>
      </c>
      <c r="B409" t="str">
        <f>"Гидравлическая опора"</f>
        <v>Гидравлическая опора</v>
      </c>
      <c r="C409">
        <v>1</v>
      </c>
      <c r="D409">
        <v>2617.7280000000001</v>
      </c>
    </row>
    <row r="410" spans="1:4">
      <c r="A410" t="str">
        <f>"11560-EA200"</f>
        <v>11560-EA200</v>
      </c>
      <c r="B410" t="str">
        <f>"Клапан подачи ма"</f>
        <v>Клапан подачи ма</v>
      </c>
      <c r="C410">
        <v>7</v>
      </c>
      <c r="D410">
        <v>878.01599999999996</v>
      </c>
    </row>
    <row r="411" spans="1:4">
      <c r="A411" t="str">
        <f>"11710-ED50C"</f>
        <v>11710-ED50C</v>
      </c>
      <c r="B411" t="str">
        <f>"Кронштейн генератора"</f>
        <v>Кронштейн генератора</v>
      </c>
      <c r="C411">
        <v>0</v>
      </c>
      <c r="D411">
        <v>1932.288</v>
      </c>
    </row>
    <row r="412" spans="1:4">
      <c r="A412" t="str">
        <f>"11720-02NX4"</f>
        <v>11720-02NX4</v>
      </c>
      <c r="B412" t="str">
        <f>"Ремень вентилятора з"</f>
        <v>Ремень вентилятора з</v>
      </c>
      <c r="C412">
        <v>1</v>
      </c>
      <c r="D412">
        <v>460.63200000000001</v>
      </c>
    </row>
    <row r="413" spans="1:4">
      <c r="A413" t="str">
        <f>"11720-03JXM"</f>
        <v>11720-03JXM</v>
      </c>
      <c r="B413" t="str">
        <f>"Ремень вентилятора к"</f>
        <v>Ремень вентилятора к</v>
      </c>
      <c r="C413">
        <v>2</v>
      </c>
      <c r="D413">
        <v>513.26400000000001</v>
      </c>
    </row>
    <row r="414" spans="1:4">
      <c r="A414" t="str">
        <f>"11720-0E401"</f>
        <v>11720-0E401</v>
      </c>
      <c r="B414" t="str">
        <f>"BELT-FAN"</f>
        <v>BELT-FAN</v>
      </c>
      <c r="C414">
        <v>6</v>
      </c>
      <c r="D414">
        <v>377.4</v>
      </c>
    </row>
    <row r="415" spans="1:4">
      <c r="A415" t="str">
        <f>"11720-0F000"</f>
        <v>11720-0F000</v>
      </c>
      <c r="B415" t="str">
        <f>"BELT-FAN"</f>
        <v>BELT-FAN</v>
      </c>
      <c r="C415">
        <v>11</v>
      </c>
      <c r="D415">
        <v>516.12</v>
      </c>
    </row>
    <row r="416" spans="1:4">
      <c r="A416" t="str">
        <f>"11720-0F3XM"</f>
        <v>11720-0F3XM</v>
      </c>
      <c r="B416" t="str">
        <f>"Ремень генератора кл"</f>
        <v>Ремень генератора кл</v>
      </c>
      <c r="C416">
        <v>7</v>
      </c>
      <c r="D416">
        <v>256.63200000000001</v>
      </c>
    </row>
    <row r="417" spans="1:4">
      <c r="A417" t="str">
        <f>"11720-0M0X0"</f>
        <v>11720-0M0X0</v>
      </c>
      <c r="B417" t="str">
        <f>"BELT"</f>
        <v>BELT</v>
      </c>
      <c r="C417">
        <v>3</v>
      </c>
      <c r="D417">
        <v>376.17599999999999</v>
      </c>
    </row>
    <row r="418" spans="1:4">
      <c r="A418" t="str">
        <f>"11720-0M3XA"</f>
        <v>11720-0M3XA</v>
      </c>
      <c r="B418" t="str">
        <f>"Ремень генер+компр 4"</f>
        <v>Ремень генер+компр 4</v>
      </c>
      <c r="C418">
        <v>5</v>
      </c>
      <c r="D418">
        <v>408</v>
      </c>
    </row>
    <row r="419" spans="1:4">
      <c r="A419" t="str">
        <f>"11720-0W0XB"</f>
        <v>11720-0W0XB</v>
      </c>
      <c r="B419" t="str">
        <f>"Ремень генератора ру"</f>
        <v>Ремень генератора ру</v>
      </c>
      <c r="C419">
        <v>1</v>
      </c>
      <c r="D419">
        <v>452.47199999999998</v>
      </c>
    </row>
    <row r="420" spans="1:4">
      <c r="A420" t="str">
        <f>"11720-1CA1C"</f>
        <v>11720-1CA1C</v>
      </c>
      <c r="B420" t="str">
        <f>"Ремень генератор"</f>
        <v>Ремень генератор</v>
      </c>
      <c r="C420">
        <v>11</v>
      </c>
      <c r="D420">
        <v>1752.36</v>
      </c>
    </row>
    <row r="421" spans="1:4">
      <c r="A421" t="str">
        <f>"11720-1E4X1"</f>
        <v>11720-1E4X1</v>
      </c>
      <c r="B421" t="str">
        <f>"BELT"</f>
        <v>BELT</v>
      </c>
      <c r="C421">
        <v>2</v>
      </c>
      <c r="D421">
        <v>581.80799999999999</v>
      </c>
    </row>
    <row r="422" spans="1:4">
      <c r="A422" t="str">
        <f>"11720-1LA0A"</f>
        <v>11720-1LA0A</v>
      </c>
      <c r="B422" t="str">
        <f>"Ремень генератор"</f>
        <v>Ремень генератор</v>
      </c>
      <c r="C422">
        <v>1</v>
      </c>
      <c r="D422">
        <v>1481.856</v>
      </c>
    </row>
    <row r="423" spans="1:4">
      <c r="A423" t="str">
        <f>"11720-2F005"</f>
        <v>11720-2F005</v>
      </c>
      <c r="B423" t="str">
        <f>"BELT-FAN&amp;ALTERN"</f>
        <v>BELT-FAN&amp;ALTERN</v>
      </c>
      <c r="C423">
        <v>3</v>
      </c>
      <c r="D423">
        <v>437.37600000000003</v>
      </c>
    </row>
    <row r="424" spans="1:4">
      <c r="A424" t="str">
        <f>"11720-2F205"</f>
        <v>11720-2F205</v>
      </c>
      <c r="B424" t="str">
        <f>"BELT-FAN&amp;ALTERN"</f>
        <v>BELT-FAN&amp;ALTERN</v>
      </c>
      <c r="C424">
        <v>3</v>
      </c>
      <c r="D424">
        <v>499.392</v>
      </c>
    </row>
    <row r="425" spans="1:4">
      <c r="A425" t="str">
        <f>"11720-2W204"</f>
        <v>11720-2W204</v>
      </c>
      <c r="B425" t="str">
        <f>"Ремень вентилятора 7"</f>
        <v>Ремень вентилятора 7</v>
      </c>
      <c r="C425">
        <v>1</v>
      </c>
      <c r="D425">
        <v>1531.6319999999998</v>
      </c>
    </row>
    <row r="426" spans="1:4">
      <c r="A426" t="str">
        <f>"11720-31UXB"</f>
        <v>11720-31UXB</v>
      </c>
      <c r="B426" t="str">
        <f>"Ремень генератора 6-"</f>
        <v>Ремень генератора 6-</v>
      </c>
      <c r="C426">
        <v>0</v>
      </c>
      <c r="D426">
        <v>362.71199999999999</v>
      </c>
    </row>
    <row r="427" spans="1:4">
      <c r="A427" t="str">
        <f>"11720-42LX1"</f>
        <v>11720-42LX1</v>
      </c>
      <c r="B427" t="str">
        <f>"BELT"</f>
        <v>BELT</v>
      </c>
      <c r="C427">
        <v>5</v>
      </c>
      <c r="D427">
        <v>349.24799999999999</v>
      </c>
    </row>
    <row r="428" spans="1:4">
      <c r="A428" t="str">
        <f>"11720-42LXB"</f>
        <v>11720-42LXB</v>
      </c>
      <c r="B428" t="str">
        <f>"Ремень генератора 4-"</f>
        <v>Ремень генератора 4-</v>
      </c>
      <c r="C428">
        <v>3</v>
      </c>
      <c r="D428">
        <v>314.16000000000003</v>
      </c>
    </row>
    <row r="429" spans="1:4">
      <c r="A429" t="str">
        <f>"11720-4P10A"</f>
        <v>11720-4P10A</v>
      </c>
      <c r="B429" t="str">
        <f>"Ремень ген.+ вентиля"</f>
        <v>Ремень ген.+ вентиля</v>
      </c>
      <c r="C429">
        <v>0</v>
      </c>
      <c r="D429">
        <v>845.37599999999998</v>
      </c>
    </row>
    <row r="430" spans="1:4">
      <c r="A430" t="str">
        <f>"11720-4P1XM"</f>
        <v>11720-4P1XM</v>
      </c>
      <c r="B430" t="str">
        <f>"Ремень генератора 6-"</f>
        <v>Ремень генератора 6-</v>
      </c>
      <c r="C430">
        <v>79</v>
      </c>
      <c r="D430">
        <v>478.58399999999995</v>
      </c>
    </row>
    <row r="431" spans="1:4">
      <c r="A431" t="str">
        <f>"11720-53YXM"</f>
        <v>11720-53YXM</v>
      </c>
      <c r="B431" t="str">
        <f>"Ремень генератора 4-"</f>
        <v>Ремень генератора 4-</v>
      </c>
      <c r="C431">
        <v>7</v>
      </c>
      <c r="D431">
        <v>327.21600000000001</v>
      </c>
    </row>
    <row r="432" spans="1:4">
      <c r="A432" t="str">
        <f>"11720-5X00A"</f>
        <v>11720-5X00A</v>
      </c>
      <c r="B432" t="str">
        <f>"Ремень генератор"</f>
        <v>Ремень генератор</v>
      </c>
      <c r="C432">
        <v>1</v>
      </c>
      <c r="D432">
        <v>1933.104</v>
      </c>
    </row>
    <row r="433" spans="1:4">
      <c r="A433" t="str">
        <f>"11720-5X00B"</f>
        <v>11720-5X00B</v>
      </c>
      <c r="B433" t="str">
        <f>"Ремень генератор"</f>
        <v>Ремень генератор</v>
      </c>
      <c r="C433">
        <v>2</v>
      </c>
      <c r="D433">
        <v>1283.9759999999999</v>
      </c>
    </row>
    <row r="434" spans="1:4">
      <c r="A434" t="str">
        <f>"11720-5X20A"</f>
        <v>11720-5X20A</v>
      </c>
      <c r="B434" t="str">
        <f>"Ремень генератор"</f>
        <v>Ремень генератор</v>
      </c>
      <c r="C434">
        <v>1</v>
      </c>
      <c r="D434">
        <v>1086.912</v>
      </c>
    </row>
    <row r="435" spans="1:4">
      <c r="A435" t="str">
        <f>"11720-6C300"</f>
        <v>11720-6C300</v>
      </c>
      <c r="B435" t="str">
        <f>"Ремень генератора кл"</f>
        <v>Ремень генератора кл</v>
      </c>
      <c r="C435">
        <v>2</v>
      </c>
      <c r="D435">
        <v>518.16</v>
      </c>
    </row>
    <row r="436" spans="1:4">
      <c r="A436" t="str">
        <f>"11720-6N200"</f>
        <v>11720-6N200</v>
      </c>
      <c r="B436" t="str">
        <f>"BELT-FAN"</f>
        <v>BELT-FAN</v>
      </c>
      <c r="C436">
        <v>116</v>
      </c>
      <c r="D436">
        <v>996.3359999999999</v>
      </c>
    </row>
    <row r="437" spans="1:4">
      <c r="A437" t="str">
        <f>"11720-70J05"</f>
        <v>11720-70J05</v>
      </c>
      <c r="B437" t="str">
        <f>"BELT-FAN"</f>
        <v>BELT-FAN</v>
      </c>
      <c r="C437">
        <v>32</v>
      </c>
      <c r="D437">
        <v>424.32</v>
      </c>
    </row>
    <row r="438" spans="1:4">
      <c r="A438" t="str">
        <f>"11720-7S00A"</f>
        <v>11720-7S00A</v>
      </c>
      <c r="B438" t="str">
        <f>"Ремень генератор"</f>
        <v>Ремень генератор</v>
      </c>
      <c r="C438">
        <v>13</v>
      </c>
      <c r="D438">
        <v>858.43200000000002</v>
      </c>
    </row>
    <row r="439" spans="1:4">
      <c r="A439" t="str">
        <f>"11720-9F610"</f>
        <v>11720-9F610</v>
      </c>
      <c r="B439" t="str">
        <f>"BELT-FAN&amp;ALTERN"</f>
        <v>BELT-FAN&amp;ALTERN</v>
      </c>
      <c r="C439">
        <v>5</v>
      </c>
      <c r="D439">
        <v>562.63199999999995</v>
      </c>
    </row>
    <row r="440" spans="1:4">
      <c r="A440" t="str">
        <f>"11720-AD200"</f>
        <v>11720-AD200</v>
      </c>
      <c r="B440" t="str">
        <f>"BELT-FAN"</f>
        <v>BELT-FAN</v>
      </c>
      <c r="C440">
        <v>220</v>
      </c>
      <c r="D440">
        <v>592.41599999999994</v>
      </c>
    </row>
    <row r="441" spans="1:4">
      <c r="A441" t="str">
        <f>"11720-AR010"</f>
        <v>11720-AR010</v>
      </c>
      <c r="B441" t="str">
        <f>"BELT-FAN"</f>
        <v>BELT-FAN</v>
      </c>
      <c r="C441">
        <v>10</v>
      </c>
      <c r="D441">
        <v>1037.136</v>
      </c>
    </row>
    <row r="442" spans="1:4">
      <c r="A442" t="str">
        <f>"11720-AX000"</f>
        <v>11720-AX000</v>
      </c>
      <c r="B442" t="str">
        <f>"Ремень генератора 3-"</f>
        <v>Ремень генератора 3-</v>
      </c>
      <c r="C442">
        <v>37</v>
      </c>
      <c r="D442">
        <v>411.26400000000001</v>
      </c>
    </row>
    <row r="443" spans="1:4">
      <c r="A443" t="str">
        <f>"11720-BC21C"</f>
        <v>11720-BC21C</v>
      </c>
      <c r="B443" t="str">
        <f>"Ремень ген.+ вентиля"</f>
        <v>Ремень ген.+ вентиля</v>
      </c>
      <c r="C443">
        <v>4</v>
      </c>
      <c r="D443">
        <v>853.53599999999994</v>
      </c>
    </row>
    <row r="444" spans="1:4">
      <c r="A444" t="str">
        <f>"11720-BX005"</f>
        <v>11720-BX005</v>
      </c>
      <c r="B444" t="str">
        <f>"BELT-FAN&amp;ALTERN"</f>
        <v>BELT-FAN&amp;ALTERN</v>
      </c>
      <c r="C444">
        <v>19</v>
      </c>
      <c r="D444">
        <v>531.62399999999991</v>
      </c>
    </row>
    <row r="445" spans="1:4">
      <c r="A445" t="str">
        <f>"11720-D40XG"</f>
        <v>11720-D40XG</v>
      </c>
      <c r="B445" t="str">
        <f>"Ремень гидроус.+помп"</f>
        <v>Ремень гидроус.+помп</v>
      </c>
      <c r="C445">
        <v>0</v>
      </c>
      <c r="D445">
        <v>302.73599999999999</v>
      </c>
    </row>
    <row r="446" spans="1:4">
      <c r="A446" t="str">
        <f>"11720-EA200"</f>
        <v>11720-EA200</v>
      </c>
      <c r="B446" t="str">
        <f>"BELT-FAN&amp;ALTERN"</f>
        <v>BELT-FAN&amp;ALTERN</v>
      </c>
      <c r="C446">
        <v>21</v>
      </c>
      <c r="D446">
        <v>798.45600000000002</v>
      </c>
    </row>
    <row r="447" spans="1:4">
      <c r="A447" t="str">
        <f>"11720-EB70C"</f>
        <v>11720-EB70C</v>
      </c>
      <c r="B447" t="str">
        <f>"Ремень генератора 7-"</f>
        <v>Ремень генератора 7-</v>
      </c>
      <c r="C447">
        <v>42</v>
      </c>
      <c r="D447">
        <v>495.31199999999995</v>
      </c>
    </row>
    <row r="448" spans="1:4">
      <c r="A448" t="str">
        <f>"11720-ED00C"</f>
        <v>11720-ED00C</v>
      </c>
      <c r="B448" t="str">
        <f>"Ремень ген.+ вентиля"</f>
        <v>Ремень ген.+ вентиля</v>
      </c>
      <c r="C448">
        <v>194</v>
      </c>
      <c r="D448">
        <v>873.93599999999992</v>
      </c>
    </row>
    <row r="449" spans="1:4">
      <c r="A449" t="str">
        <f>"11720-ED30A"</f>
        <v>11720-ED30A</v>
      </c>
      <c r="B449" t="str">
        <f>"Ремень генератора 7-"</f>
        <v>Ремень генератора 7-</v>
      </c>
      <c r="C449">
        <v>5</v>
      </c>
      <c r="D449">
        <v>828.24</v>
      </c>
    </row>
    <row r="450" spans="1:4">
      <c r="A450" t="str">
        <f>"11720-EL00A"</f>
        <v>11720-EL00A</v>
      </c>
      <c r="B450" t="str">
        <f>"Ремень генератор"</f>
        <v>Ремень генератор</v>
      </c>
      <c r="C450">
        <v>10</v>
      </c>
      <c r="D450">
        <v>709.10399999999993</v>
      </c>
    </row>
    <row r="451" spans="1:4">
      <c r="A451" t="str">
        <f>"11720-EN20A"</f>
        <v>11720-EN20A</v>
      </c>
      <c r="B451" t="str">
        <f>"Ремень ген.+ вентиля"</f>
        <v>Ремень ген.+ вентиля</v>
      </c>
      <c r="C451">
        <v>26</v>
      </c>
      <c r="D451">
        <v>851.90399999999988</v>
      </c>
    </row>
    <row r="452" spans="1:4">
      <c r="A452" t="str">
        <f>"11720-EY00B"</f>
        <v>11720-EY00B</v>
      </c>
      <c r="B452" t="str">
        <f>"Ремень генератор"</f>
        <v>Ремень генератор</v>
      </c>
      <c r="C452">
        <v>7</v>
      </c>
      <c r="D452">
        <v>1188.096</v>
      </c>
    </row>
    <row r="453" spans="1:4">
      <c r="A453" t="str">
        <f>"11720-JA10B"</f>
        <v>11720-JA10B</v>
      </c>
      <c r="B453" t="str">
        <f>"Ремень ген.+ вентиля"</f>
        <v>Ремень ген.+ вентиля</v>
      </c>
      <c r="C453">
        <v>22</v>
      </c>
      <c r="D453">
        <v>1104.864</v>
      </c>
    </row>
    <row r="454" spans="1:4">
      <c r="A454" t="str">
        <f>"11720-JD00C"</f>
        <v>11720-JD00C</v>
      </c>
      <c r="B454" t="str">
        <f>"Ремень ген.+ вентиля"</f>
        <v>Ремень ген.+ вентиля</v>
      </c>
      <c r="C454">
        <v>33</v>
      </c>
      <c r="D454">
        <v>863.32800000000009</v>
      </c>
    </row>
    <row r="455" spans="1:4">
      <c r="A455" t="str">
        <f>"11720-JD20A"</f>
        <v>11720-JD20A</v>
      </c>
      <c r="B455" t="str">
        <f>"Ремень ген.+ вентиля"</f>
        <v>Ремень ген.+ вентиля</v>
      </c>
      <c r="C455">
        <v>4</v>
      </c>
      <c r="D455">
        <v>828.64799999999991</v>
      </c>
    </row>
    <row r="456" spans="1:4">
      <c r="A456" t="str">
        <f>"11720-JG30B"</f>
        <v>11720-JG30B</v>
      </c>
      <c r="B456" t="str">
        <f>"Ремень генератор"</f>
        <v>Ремень генератор</v>
      </c>
      <c r="C456">
        <v>3</v>
      </c>
      <c r="D456">
        <v>1086.912</v>
      </c>
    </row>
    <row r="457" spans="1:4">
      <c r="A457" t="str">
        <f>"11720-JK20A"</f>
        <v>11720-JK20A</v>
      </c>
      <c r="B457" t="str">
        <f>"Ремень ген.+ вентиля"</f>
        <v>Ремень ген.+ вентиля</v>
      </c>
      <c r="C457">
        <v>11</v>
      </c>
      <c r="D457">
        <v>1235.0160000000001</v>
      </c>
    </row>
    <row r="458" spans="1:4">
      <c r="A458" t="str">
        <f>"11720-V20XM"</f>
        <v>11720-V20XM</v>
      </c>
      <c r="B458" t="str">
        <f>"Ремень генератора кл"</f>
        <v>Ремень генератора кл</v>
      </c>
      <c r="C458">
        <v>1</v>
      </c>
      <c r="D458">
        <v>270.91199999999998</v>
      </c>
    </row>
    <row r="459" spans="1:4">
      <c r="A459" t="str">
        <f>"11720-V73XM"</f>
        <v>11720-V73XM</v>
      </c>
      <c r="B459" t="str">
        <f>"Ремень генератора 4-"</f>
        <v>Ремень генератора 4-</v>
      </c>
      <c r="C459">
        <v>7</v>
      </c>
      <c r="D459">
        <v>318.23999999999995</v>
      </c>
    </row>
    <row r="460" spans="1:4">
      <c r="A460" t="str">
        <f>"11720-VB5X0"</f>
        <v>11720-VB5X0</v>
      </c>
      <c r="B460" t="str">
        <f>"BELT"</f>
        <v>BELT</v>
      </c>
      <c r="C460">
        <v>15</v>
      </c>
      <c r="D460">
        <v>521.42399999999998</v>
      </c>
    </row>
    <row r="461" spans="1:4">
      <c r="A461" t="str">
        <f>"11720-VC1X3"</f>
        <v>11720-VC1X3</v>
      </c>
      <c r="B461" t="str">
        <f>"BELT"</f>
        <v>BELT</v>
      </c>
      <c r="C461">
        <v>57</v>
      </c>
      <c r="D461">
        <v>725.42399999999998</v>
      </c>
    </row>
    <row r="462" spans="1:4">
      <c r="A462" t="str">
        <f>"11720-VC2X0"</f>
        <v>11720-VC2X0</v>
      </c>
      <c r="B462" t="str">
        <f>"BELT"</f>
        <v>BELT</v>
      </c>
      <c r="C462">
        <v>74</v>
      </c>
      <c r="D462">
        <v>495.31199999999995</v>
      </c>
    </row>
    <row r="463" spans="1:4">
      <c r="A463" t="str">
        <f>"11720-VJ2X0"</f>
        <v>11720-VJ2X0</v>
      </c>
      <c r="B463" t="str">
        <f>"BELT"</f>
        <v>BELT</v>
      </c>
      <c r="C463">
        <v>15</v>
      </c>
      <c r="D463">
        <v>381.072</v>
      </c>
    </row>
    <row r="464" spans="1:4">
      <c r="A464" t="str">
        <f>"11720-VK500"</f>
        <v>11720-VK500</v>
      </c>
      <c r="B464" t="str">
        <f>"Ремень генератор"</f>
        <v>Ремень генератор</v>
      </c>
      <c r="C464">
        <v>32</v>
      </c>
      <c r="D464">
        <v>790.29600000000005</v>
      </c>
    </row>
    <row r="465" spans="1:4">
      <c r="A465" t="str">
        <f>"11750-2W20C"</f>
        <v>11750-2W20C</v>
      </c>
      <c r="B465" t="str">
        <f>"Натяжитель приводног"</f>
        <v>Натяжитель приводног</v>
      </c>
      <c r="C465">
        <v>94</v>
      </c>
      <c r="D465">
        <v>5953.9439999999995</v>
      </c>
    </row>
    <row r="466" spans="1:4">
      <c r="A466" t="str">
        <f>"11752-2W20A"</f>
        <v>11752-2W20A</v>
      </c>
      <c r="B466" t="str">
        <f>"Натяжитель приводног"</f>
        <v>Натяжитель приводног</v>
      </c>
      <c r="C466">
        <v>15</v>
      </c>
      <c r="D466">
        <v>2570.808</v>
      </c>
    </row>
    <row r="467" spans="1:4">
      <c r="A467" t="str">
        <f>"11755-2W201"</f>
        <v>11755-2W201</v>
      </c>
      <c r="B467" t="str">
        <f>"BUSH-TENSIONER"</f>
        <v>BUSH-TENSIONER</v>
      </c>
      <c r="C467">
        <v>2</v>
      </c>
      <c r="D467">
        <v>119.95199999999998</v>
      </c>
    </row>
    <row r="468" spans="1:4">
      <c r="A468" t="str">
        <f>"11756-2W201"</f>
        <v>11756-2W201</v>
      </c>
      <c r="B468" t="str">
        <f>"SPACER-TENSIONE"</f>
        <v>SPACER-TENSIONE</v>
      </c>
      <c r="C468">
        <v>3</v>
      </c>
      <c r="D468">
        <v>73.031999999999996</v>
      </c>
    </row>
    <row r="469" spans="1:4">
      <c r="A469" t="str">
        <f>"11810-0M300"</f>
        <v>11810-0M300</v>
      </c>
      <c r="B469" t="str">
        <f>"VALVE ASSY-CONT"</f>
        <v>VALVE ASSY-CONT</v>
      </c>
      <c r="C469">
        <v>15</v>
      </c>
      <c r="D469">
        <v>559.36799999999994</v>
      </c>
    </row>
    <row r="470" spans="1:4">
      <c r="A470" t="str">
        <f>"11810-41B02"</f>
        <v>11810-41B02</v>
      </c>
      <c r="B470" t="str">
        <f>"VALVE ASSY-CONT"</f>
        <v>VALVE ASSY-CONT</v>
      </c>
      <c r="C470">
        <v>24</v>
      </c>
      <c r="D470">
        <v>686.25599999999997</v>
      </c>
    </row>
    <row r="471" spans="1:4">
      <c r="A471" t="str">
        <f>"11810-6N202"</f>
        <v>11810-6N202</v>
      </c>
      <c r="B471" t="str">
        <f>"VALVE ASSY-CONT"</f>
        <v>VALVE ASSY-CONT</v>
      </c>
      <c r="C471">
        <v>2</v>
      </c>
      <c r="D471">
        <v>500.61599999999999</v>
      </c>
    </row>
    <row r="472" spans="1:4">
      <c r="A472" t="str">
        <f>"11812-41B00"</f>
        <v>11812-41B00</v>
      </c>
      <c r="B472" t="str">
        <f>"INSULATOR-PCV V"</f>
        <v>INSULATOR-PCV V</v>
      </c>
      <c r="C472">
        <v>22</v>
      </c>
      <c r="D472">
        <v>52.224000000000004</v>
      </c>
    </row>
    <row r="473" spans="1:4">
      <c r="A473" t="str">
        <f>"11812-6N200"</f>
        <v>11812-6N200</v>
      </c>
      <c r="B473" t="str">
        <f>"RUBBER PCV,VALV"</f>
        <v>RUBBER PCV,VALV</v>
      </c>
      <c r="C473">
        <v>5</v>
      </c>
      <c r="D473">
        <v>67.319999999999993</v>
      </c>
    </row>
    <row r="474" spans="1:4">
      <c r="A474" t="str">
        <f>"11916-4M50A"</f>
        <v>11916-4M50A</v>
      </c>
      <c r="B474" t="str">
        <f>"Болт натяжителя ремн"</f>
        <v>Болт натяжителя ремн</v>
      </c>
      <c r="C474">
        <v>5</v>
      </c>
      <c r="D474">
        <v>72.623999999999995</v>
      </c>
    </row>
    <row r="475" spans="1:4">
      <c r="A475" t="str">
        <f>"11920-0E0XM"</f>
        <v>11920-0E0XM</v>
      </c>
      <c r="B475" t="str">
        <f>"Ремень компрессора 6"</f>
        <v>Ремень компрессора 6</v>
      </c>
      <c r="C475">
        <v>6</v>
      </c>
      <c r="D475">
        <v>449.20799999999997</v>
      </c>
    </row>
    <row r="476" spans="1:4">
      <c r="A476" t="str">
        <f>"11920-0F0XM"</f>
        <v>11920-0F0XM</v>
      </c>
      <c r="B476" t="str">
        <f>"Ремень компрессора к"</f>
        <v>Ремень компрессора к</v>
      </c>
      <c r="C476">
        <v>8</v>
      </c>
      <c r="D476">
        <v>290.49599999999998</v>
      </c>
    </row>
    <row r="477" spans="1:4">
      <c r="A477" t="str">
        <f>"11920-0W0XM"</f>
        <v>11920-0W0XM</v>
      </c>
      <c r="B477" t="str">
        <f>"Ремень компрессора 5"</f>
        <v>Ремень компрессора 5</v>
      </c>
      <c r="C477">
        <v>6</v>
      </c>
      <c r="D477">
        <v>450.84</v>
      </c>
    </row>
    <row r="478" spans="1:4">
      <c r="A478" t="str">
        <f>"11920-2F205"</f>
        <v>11920-2F205</v>
      </c>
      <c r="B478" t="str">
        <f>"BELT-COMPRESSOR"</f>
        <v>BELT-COMPRESSOR</v>
      </c>
      <c r="C478">
        <v>2</v>
      </c>
      <c r="D478">
        <v>848.64</v>
      </c>
    </row>
    <row r="479" spans="1:4">
      <c r="A479" t="str">
        <f>"11920-31UXB"</f>
        <v>11920-31UXB</v>
      </c>
      <c r="B479" t="str">
        <f>"Ремень компрессора 6"</f>
        <v>Ремень компрессора 6</v>
      </c>
      <c r="C479">
        <v>15</v>
      </c>
      <c r="D479">
        <v>443.08800000000002</v>
      </c>
    </row>
    <row r="480" spans="1:4">
      <c r="A480" t="str">
        <f>"11920-41BX2"</f>
        <v>11920-41BX2</v>
      </c>
      <c r="B480" t="str">
        <f>"BELT"</f>
        <v>BELT</v>
      </c>
      <c r="C480">
        <v>0</v>
      </c>
      <c r="D480">
        <v>441.048</v>
      </c>
    </row>
    <row r="481" spans="1:4">
      <c r="A481" t="str">
        <f>"11920-4N011"</f>
        <v>11920-4N011</v>
      </c>
      <c r="B481" t="str">
        <f>"Ремень компресора 6-"</f>
        <v>Ремень компресора 6-</v>
      </c>
      <c r="C481">
        <v>5</v>
      </c>
      <c r="D481">
        <v>866.18400000000008</v>
      </c>
    </row>
    <row r="482" spans="1:4">
      <c r="A482" t="str">
        <f>"11920-60UXA"</f>
        <v>11920-60UXA</v>
      </c>
      <c r="B482" t="str">
        <f>"Ремень компрессора 4"</f>
        <v>Ремень компрессора 4</v>
      </c>
      <c r="C482">
        <v>28</v>
      </c>
      <c r="D482">
        <v>341.49599999999998</v>
      </c>
    </row>
    <row r="483" spans="1:4">
      <c r="A483" t="str">
        <f>"11920-77AXM"</f>
        <v>11920-77AXM</v>
      </c>
      <c r="B483" t="str">
        <f>"Ремень компрессора 4"</f>
        <v>Ремень компрессора 4</v>
      </c>
      <c r="C483">
        <v>30</v>
      </c>
      <c r="D483">
        <v>327.21600000000001</v>
      </c>
    </row>
    <row r="484" spans="1:4">
      <c r="A484" t="str">
        <f>"11920-8N2X0"</f>
        <v>11920-8N2X0</v>
      </c>
      <c r="B484" t="str">
        <f>"Ремень компрессо"</f>
        <v>Ремень компрессо</v>
      </c>
      <c r="C484">
        <v>3</v>
      </c>
      <c r="D484">
        <v>510.81599999999997</v>
      </c>
    </row>
    <row r="485" spans="1:4">
      <c r="A485" t="str">
        <f>"11920-95F0A"</f>
        <v>11920-95F0A</v>
      </c>
      <c r="B485" t="str">
        <f>"Ремень компрессора 6"</f>
        <v>Ремень компрессора 6</v>
      </c>
      <c r="C485">
        <v>21</v>
      </c>
      <c r="D485">
        <v>916.36799999999994</v>
      </c>
    </row>
    <row r="486" spans="1:4">
      <c r="A486" t="str">
        <f>"11920-95F0B"</f>
        <v>11920-95F0B</v>
      </c>
      <c r="B486" t="str">
        <f>"Ремень компрессора 6"</f>
        <v>Ремень компрессора 6</v>
      </c>
      <c r="C486">
        <v>91</v>
      </c>
      <c r="D486">
        <v>523.46400000000006</v>
      </c>
    </row>
    <row r="487" spans="1:4">
      <c r="A487" t="str">
        <f>"11920-9F505"</f>
        <v>11920-9F505</v>
      </c>
      <c r="B487" t="str">
        <f>"BELT-COMPRESSOR"</f>
        <v>BELT-COMPRESSOR</v>
      </c>
      <c r="C487">
        <v>11</v>
      </c>
      <c r="D487">
        <v>833.13599999999997</v>
      </c>
    </row>
    <row r="488" spans="1:4">
      <c r="A488" t="str">
        <f>"11920-9F615"</f>
        <v>11920-9F615</v>
      </c>
      <c r="B488" t="str">
        <f>"BELT-COMPRESSOR"</f>
        <v>BELT-COMPRESSOR</v>
      </c>
      <c r="C488">
        <v>52</v>
      </c>
      <c r="D488">
        <v>859.24799999999993</v>
      </c>
    </row>
    <row r="489" spans="1:4">
      <c r="A489" t="str">
        <f>"11920-AX001"</f>
        <v>11920-AX001</v>
      </c>
      <c r="B489" t="str">
        <f>"Ремень компрессора 5"</f>
        <v>Ремень компрессора 5</v>
      </c>
      <c r="C489">
        <v>29</v>
      </c>
      <c r="D489">
        <v>816.81599999999992</v>
      </c>
    </row>
    <row r="490" spans="1:4">
      <c r="A490" t="str">
        <f>"11920-BX005"</f>
        <v>11920-BX005</v>
      </c>
      <c r="B490" t="str">
        <f>"BELT-COMPRESSOR"</f>
        <v>BELT-COMPRESSOR</v>
      </c>
      <c r="C490">
        <v>47</v>
      </c>
      <c r="D490">
        <v>730.32</v>
      </c>
    </row>
    <row r="491" spans="1:4">
      <c r="A491" t="str">
        <f>"11920-BX00A"</f>
        <v>11920-BX00A</v>
      </c>
      <c r="B491" t="str">
        <f>"Ремень компрессора 4"</f>
        <v>Ремень компрессора 4</v>
      </c>
      <c r="C491">
        <v>42</v>
      </c>
      <c r="D491">
        <v>714.40800000000002</v>
      </c>
    </row>
    <row r="492" spans="1:4">
      <c r="A492" t="str">
        <f>"11920-CA000"</f>
        <v>11920-CA000</v>
      </c>
      <c r="B492" t="str">
        <f>"BELT-COMPRESSOR"</f>
        <v>BELT-COMPRESSOR</v>
      </c>
      <c r="C492">
        <v>52</v>
      </c>
      <c r="D492">
        <v>800.90399999999988</v>
      </c>
    </row>
    <row r="493" spans="1:4">
      <c r="A493" t="str">
        <f>"11920-CK000"</f>
        <v>11920-CK000</v>
      </c>
      <c r="B493" t="str">
        <f>"Ремень компрессора 6"</f>
        <v>Ремень компрессора 6</v>
      </c>
      <c r="C493">
        <v>10</v>
      </c>
      <c r="D493">
        <v>798.45600000000002</v>
      </c>
    </row>
    <row r="494" spans="1:4">
      <c r="A494" t="str">
        <f>"11920-W4400-TM"</f>
        <v>11920-W4400-TM</v>
      </c>
      <c r="B494" t="str">
        <f>"BELT-COMPRESSOR"</f>
        <v>BELT-COMPRESSOR</v>
      </c>
      <c r="C494">
        <v>3</v>
      </c>
      <c r="D494">
        <v>306.40800000000002</v>
      </c>
    </row>
    <row r="495" spans="1:4">
      <c r="A495" t="str">
        <f>"11923-0W003"</f>
        <v>11923-0W003</v>
      </c>
      <c r="B495" t="str">
        <f>"PULLEY ASSY"</f>
        <v>PULLEY ASSY</v>
      </c>
      <c r="C495">
        <v>6</v>
      </c>
      <c r="D495">
        <v>2953.9199999999996</v>
      </c>
    </row>
    <row r="496" spans="1:4">
      <c r="A496" t="str">
        <f>"11925-00QAF"</f>
        <v>11925-00QAF</v>
      </c>
      <c r="B496" t="str">
        <f t="shared" ref="B496:B512" si="5">"Ролик натяжителя рем"</f>
        <v>Ролик натяжителя рем</v>
      </c>
      <c r="C496">
        <v>9</v>
      </c>
      <c r="D496">
        <v>971.04</v>
      </c>
    </row>
    <row r="497" spans="1:4">
      <c r="A497" t="str">
        <f>"11925-22J01"</f>
        <v>11925-22J01</v>
      </c>
      <c r="B497" t="str">
        <f t="shared" si="5"/>
        <v>Ролик натяжителя рем</v>
      </c>
      <c r="C497">
        <v>14</v>
      </c>
      <c r="D497">
        <v>2487.9839999999999</v>
      </c>
    </row>
    <row r="498" spans="1:4">
      <c r="A498" t="str">
        <f>"11925-31U0C"</f>
        <v>11925-31U0C</v>
      </c>
      <c r="B498" t="str">
        <f t="shared" si="5"/>
        <v>Ролик натяжителя рем</v>
      </c>
      <c r="C498">
        <v>87</v>
      </c>
      <c r="D498">
        <v>2228.0879999999997</v>
      </c>
    </row>
    <row r="499" spans="1:4">
      <c r="A499" t="str">
        <f>"11925-7S00A"</f>
        <v>11925-7S00A</v>
      </c>
      <c r="B499" t="str">
        <f t="shared" si="5"/>
        <v>Ролик натяжителя рем</v>
      </c>
      <c r="C499">
        <v>3</v>
      </c>
      <c r="D499">
        <v>2450.8560000000002</v>
      </c>
    </row>
    <row r="500" spans="1:4">
      <c r="A500" t="str">
        <f>"11925-86G0A"</f>
        <v>11925-86G0A</v>
      </c>
      <c r="B500" t="str">
        <f t="shared" si="5"/>
        <v>Ролик натяжителя рем</v>
      </c>
      <c r="C500">
        <v>15</v>
      </c>
      <c r="D500">
        <v>3101.6159999999995</v>
      </c>
    </row>
    <row r="501" spans="1:4">
      <c r="A501" t="str">
        <f>"11925-AG30A"</f>
        <v>11925-AG30A</v>
      </c>
      <c r="B501" t="str">
        <f t="shared" si="5"/>
        <v>Ролик натяжителя рем</v>
      </c>
      <c r="C501">
        <v>28</v>
      </c>
      <c r="D501">
        <v>2181.9839999999999</v>
      </c>
    </row>
    <row r="502" spans="1:4">
      <c r="A502" t="str">
        <f>"11925-AL50A"</f>
        <v>11925-AL50A</v>
      </c>
      <c r="B502" t="str">
        <f t="shared" si="5"/>
        <v>Ролик натяжителя рем</v>
      </c>
      <c r="C502">
        <v>15</v>
      </c>
      <c r="D502">
        <v>2634.0479999999998</v>
      </c>
    </row>
    <row r="503" spans="1:4">
      <c r="A503" t="str">
        <f>"11925-AR01B"</f>
        <v>11925-AR01B</v>
      </c>
      <c r="B503" t="str">
        <f t="shared" si="5"/>
        <v>Ролик натяжителя рем</v>
      </c>
      <c r="C503">
        <v>5</v>
      </c>
      <c r="D503">
        <v>2737.2719999999999</v>
      </c>
    </row>
    <row r="504" spans="1:4">
      <c r="A504" t="str">
        <f>"11925-AX00B"</f>
        <v>11925-AX00B</v>
      </c>
      <c r="B504" t="str">
        <f t="shared" si="5"/>
        <v>Ролик натяжителя рем</v>
      </c>
      <c r="C504">
        <v>5</v>
      </c>
      <c r="D504">
        <v>2360.2800000000002</v>
      </c>
    </row>
    <row r="505" spans="1:4">
      <c r="A505" t="str">
        <f>"11925-AX01D"</f>
        <v>11925-AX01D</v>
      </c>
      <c r="B505" t="str">
        <f t="shared" si="5"/>
        <v>Ролик натяжителя рем</v>
      </c>
      <c r="C505">
        <v>18</v>
      </c>
      <c r="D505">
        <v>2620.1759999999999</v>
      </c>
    </row>
    <row r="506" spans="1:4">
      <c r="A506" t="str">
        <f>"11925-BC20B"</f>
        <v>11925-BC20B</v>
      </c>
      <c r="B506" t="str">
        <f t="shared" si="5"/>
        <v>Ролик натяжителя рем</v>
      </c>
      <c r="C506">
        <v>0</v>
      </c>
      <c r="D506">
        <v>2363.136</v>
      </c>
    </row>
    <row r="507" spans="1:4">
      <c r="A507" t="str">
        <f>"11925-EA00A"</f>
        <v>11925-EA00A</v>
      </c>
      <c r="B507" t="str">
        <f t="shared" si="5"/>
        <v>Ролик натяжителя рем</v>
      </c>
      <c r="C507">
        <v>7</v>
      </c>
      <c r="D507">
        <v>2527.152</v>
      </c>
    </row>
    <row r="508" spans="1:4">
      <c r="A508" t="str">
        <f>"11925-JA100"</f>
        <v>11925-JA100</v>
      </c>
      <c r="B508" t="str">
        <f t="shared" si="5"/>
        <v>Ролик натяжителя рем</v>
      </c>
      <c r="C508">
        <v>2</v>
      </c>
      <c r="D508">
        <v>2636.904</v>
      </c>
    </row>
    <row r="509" spans="1:4">
      <c r="A509" t="str">
        <f>"11925-JA11A"</f>
        <v>11925-JA11A</v>
      </c>
      <c r="B509" t="str">
        <f t="shared" si="5"/>
        <v>Ролик натяжителя рем</v>
      </c>
      <c r="C509">
        <v>7</v>
      </c>
      <c r="D509">
        <v>2709.9360000000001</v>
      </c>
    </row>
    <row r="510" spans="1:4">
      <c r="A510" t="str">
        <f>"11925-JK20D"</f>
        <v>11925-JK20D</v>
      </c>
      <c r="B510" t="str">
        <f t="shared" si="5"/>
        <v>Ролик натяжителя рем</v>
      </c>
      <c r="C510">
        <v>2</v>
      </c>
      <c r="D510">
        <v>2660.5679999999998</v>
      </c>
    </row>
    <row r="511" spans="1:4">
      <c r="A511" t="str">
        <f>"11925-VC22A"</f>
        <v>11925-VC22A</v>
      </c>
      <c r="B511" t="str">
        <f t="shared" si="5"/>
        <v>Ролик натяжителя рем</v>
      </c>
      <c r="C511">
        <v>4</v>
      </c>
      <c r="D511">
        <v>2698.5120000000002</v>
      </c>
    </row>
    <row r="512" spans="1:4">
      <c r="A512" t="str">
        <f>"11925-VC80A"</f>
        <v>11925-VC80A</v>
      </c>
      <c r="B512" t="str">
        <f t="shared" si="5"/>
        <v>Ролик натяжителя рем</v>
      </c>
      <c r="C512">
        <v>18</v>
      </c>
      <c r="D512">
        <v>2288.88</v>
      </c>
    </row>
    <row r="513" spans="1:4">
      <c r="A513" t="str">
        <f>"11926-AX01A"</f>
        <v>11926-AX01A</v>
      </c>
      <c r="B513" t="str">
        <f>"Кронштейн натяжителя"</f>
        <v>Кронштейн натяжителя</v>
      </c>
      <c r="C513">
        <v>5</v>
      </c>
      <c r="D513">
        <v>991.84799999999996</v>
      </c>
    </row>
    <row r="514" spans="1:4">
      <c r="A514" t="str">
        <f>"11926-VK500"</f>
        <v>11926-VK500</v>
      </c>
      <c r="B514" t="str">
        <f>"BRACKET-IDLER P"</f>
        <v>BRACKET-IDLER P</v>
      </c>
      <c r="C514">
        <v>0</v>
      </c>
      <c r="D514">
        <v>1466.76</v>
      </c>
    </row>
    <row r="515" spans="1:4">
      <c r="A515" t="str">
        <f>"11927-0W002"</f>
        <v>11927-0W002</v>
      </c>
      <c r="B515" t="str">
        <f>"PULLEY-IDLER"</f>
        <v>PULLEY-IDLER</v>
      </c>
      <c r="C515">
        <v>5</v>
      </c>
      <c r="D515">
        <v>1780.104</v>
      </c>
    </row>
    <row r="516" spans="1:4">
      <c r="A516" t="str">
        <f>"11927-1HC0A"</f>
        <v>11927-1HC0A</v>
      </c>
      <c r="B516" t="str">
        <f>"Ролик натяжителя рем"</f>
        <v>Ролик натяжителя рем</v>
      </c>
      <c r="C516">
        <v>38</v>
      </c>
      <c r="D516">
        <v>1548.768</v>
      </c>
    </row>
    <row r="517" spans="1:4">
      <c r="A517" t="str">
        <f>"11927-41B11"</f>
        <v>11927-41B11</v>
      </c>
      <c r="B517" t="str">
        <f>"Ролик натяжителя рем"</f>
        <v>Ролик натяжителя рем</v>
      </c>
      <c r="C517">
        <v>11</v>
      </c>
      <c r="D517">
        <v>1961.2560000000001</v>
      </c>
    </row>
    <row r="518" spans="1:4">
      <c r="A518" t="str">
        <f>"11927-4F115"</f>
        <v>11927-4F115</v>
      </c>
      <c r="B518" t="str">
        <f>"PULLEY-IDLER"</f>
        <v>PULLEY-IDLER</v>
      </c>
      <c r="C518">
        <v>56</v>
      </c>
      <c r="D518">
        <v>2020.4159999999999</v>
      </c>
    </row>
    <row r="519" spans="1:4">
      <c r="A519" t="str">
        <f>"11927-54A01"</f>
        <v>11927-54A01</v>
      </c>
      <c r="B519" t="str">
        <f>"PULLEY-IDLER"</f>
        <v>PULLEY-IDLER</v>
      </c>
      <c r="C519">
        <v>2</v>
      </c>
      <c r="D519">
        <v>2611.1999999999998</v>
      </c>
    </row>
    <row r="520" spans="1:4">
      <c r="A520" t="str">
        <f>"11927-77A11"</f>
        <v>11927-77A11</v>
      </c>
      <c r="B520" t="str">
        <f>"PULLEY-IDLER"</f>
        <v>PULLEY-IDLER</v>
      </c>
      <c r="C520">
        <v>0</v>
      </c>
      <c r="D520">
        <v>1806.2160000000001</v>
      </c>
    </row>
    <row r="521" spans="1:4">
      <c r="A521" t="str">
        <f>"11927-7S000"</f>
        <v>11927-7S000</v>
      </c>
      <c r="B521" t="str">
        <f>"PULLEY-IDLER"</f>
        <v>PULLEY-IDLER</v>
      </c>
      <c r="C521">
        <v>18</v>
      </c>
      <c r="D521">
        <v>1765.8239999999998</v>
      </c>
    </row>
    <row r="522" spans="1:4">
      <c r="A522" t="str">
        <f>"11927-AD20B"</f>
        <v>11927-AD20B</v>
      </c>
      <c r="B522" t="str">
        <f>"Ролик натяжителя рем"</f>
        <v>Ролик натяжителя рем</v>
      </c>
      <c r="C522">
        <v>16</v>
      </c>
      <c r="D522">
        <v>1567.1279999999999</v>
      </c>
    </row>
    <row r="523" spans="1:4">
      <c r="A523" t="str">
        <f>"11927-AG30A"</f>
        <v>11927-AG30A</v>
      </c>
      <c r="B523" t="str">
        <f>"Ролик натяжителя рем"</f>
        <v>Ролик натяжителя рем</v>
      </c>
      <c r="C523">
        <v>72</v>
      </c>
      <c r="D523">
        <v>1800.5040000000001</v>
      </c>
    </row>
    <row r="524" spans="1:4">
      <c r="A524" t="str">
        <f>"11927-AL500"</f>
        <v>11927-AL500</v>
      </c>
      <c r="B524" t="str">
        <f>"PULLEY ASSY"</f>
        <v>PULLEY ASSY</v>
      </c>
      <c r="C524">
        <v>74</v>
      </c>
      <c r="D524">
        <v>1847.424</v>
      </c>
    </row>
    <row r="525" spans="1:4">
      <c r="A525" t="str">
        <f>"11927-AN301"</f>
        <v>11927-AN301</v>
      </c>
      <c r="B525" t="str">
        <f>"Ролик натяжителя рем"</f>
        <v>Ролик натяжителя рем</v>
      </c>
      <c r="C525">
        <v>28</v>
      </c>
      <c r="D525">
        <v>1342.32</v>
      </c>
    </row>
    <row r="526" spans="1:4">
      <c r="A526" t="str">
        <f>"11927-AX000"</f>
        <v>11927-AX000</v>
      </c>
      <c r="B526" t="str">
        <f>"Ролик натяжителя рем"</f>
        <v>Ролик натяжителя рем</v>
      </c>
      <c r="C526">
        <v>36</v>
      </c>
      <c r="D526">
        <v>1291.32</v>
      </c>
    </row>
    <row r="527" spans="1:4">
      <c r="A527" t="str">
        <f>"11927-AX010"</f>
        <v>11927-AX010</v>
      </c>
      <c r="B527" t="str">
        <f>"Ролик натяжителя рем"</f>
        <v>Ролик натяжителя рем</v>
      </c>
      <c r="C527">
        <v>38</v>
      </c>
      <c r="D527">
        <v>1357.4159999999999</v>
      </c>
    </row>
    <row r="528" spans="1:4">
      <c r="A528" t="str">
        <f>"11927-BC20A"</f>
        <v>11927-BC20A</v>
      </c>
      <c r="B528" t="str">
        <f>"Ролик натяжителя рем"</f>
        <v>Ролик натяжителя рем</v>
      </c>
      <c r="C528">
        <v>12</v>
      </c>
      <c r="D528">
        <v>1921.2719999999999</v>
      </c>
    </row>
    <row r="529" spans="1:4">
      <c r="A529" t="str">
        <f>"11927-EA000"</f>
        <v>11927-EA000</v>
      </c>
      <c r="B529" t="str">
        <f>"Ролик натяжителя рем"</f>
        <v>Ролик натяжителя рем</v>
      </c>
      <c r="C529">
        <v>0</v>
      </c>
      <c r="D529">
        <v>1775.616</v>
      </c>
    </row>
    <row r="530" spans="1:4">
      <c r="A530" t="str">
        <f>"11927-ED320"</f>
        <v>11927-ED320</v>
      </c>
      <c r="B530" t="str">
        <f>"Шкив"</f>
        <v>Шкив</v>
      </c>
      <c r="C530">
        <v>0</v>
      </c>
      <c r="D530">
        <v>1862.5199999999998</v>
      </c>
    </row>
    <row r="531" spans="1:4">
      <c r="A531" t="str">
        <f>"11927-VC800"</f>
        <v>11927-VC800</v>
      </c>
      <c r="B531" t="str">
        <f>"PULLEY-IDLER"</f>
        <v>PULLEY-IDLER</v>
      </c>
      <c r="C531">
        <v>34</v>
      </c>
      <c r="D531">
        <v>1430.04</v>
      </c>
    </row>
    <row r="532" spans="1:4">
      <c r="A532" t="str">
        <f>"11928-1HC0B"</f>
        <v>11928-1HC0B</v>
      </c>
      <c r="B532" t="str">
        <f>"Вал ролика натяжител"</f>
        <v>Вал ролика натяжител</v>
      </c>
      <c r="C532">
        <v>4</v>
      </c>
      <c r="D532">
        <v>238.27199999999999</v>
      </c>
    </row>
    <row r="533" spans="1:4">
      <c r="A533" t="str">
        <f>"11928-60U02"</f>
        <v>11928-60U02</v>
      </c>
      <c r="B533" t="str">
        <f>"Вал ролика натяжител"</f>
        <v>Вал ролика натяжител</v>
      </c>
      <c r="C533">
        <v>1</v>
      </c>
      <c r="D533">
        <v>167.28</v>
      </c>
    </row>
    <row r="534" spans="1:4">
      <c r="A534" t="str">
        <f>"11932-1HC0A"</f>
        <v>11932-1HC0A</v>
      </c>
      <c r="B534" t="str">
        <f>"Втулка ролика натяжи"</f>
        <v>Втулка ролика натяжи</v>
      </c>
      <c r="C534">
        <v>1</v>
      </c>
      <c r="D534">
        <v>141.57599999999999</v>
      </c>
    </row>
    <row r="535" spans="1:4">
      <c r="A535" t="str">
        <f>"11932-31U0B"</f>
        <v>11932-31U0B</v>
      </c>
      <c r="B535" t="str">
        <f>"Втулка ролика натяжи"</f>
        <v>Втулка ролика натяжи</v>
      </c>
      <c r="C535">
        <v>4</v>
      </c>
      <c r="D535">
        <v>136.68</v>
      </c>
    </row>
    <row r="536" spans="1:4">
      <c r="A536" t="str">
        <f>"11934-31U0B"</f>
        <v>11934-31U0B</v>
      </c>
      <c r="B536" t="str">
        <f>"Гайка натяжителя рем"</f>
        <v>Гайка натяжителя рем</v>
      </c>
      <c r="C536">
        <v>39</v>
      </c>
      <c r="D536">
        <v>188.49600000000001</v>
      </c>
    </row>
    <row r="537" spans="1:4">
      <c r="A537" t="str">
        <f>"11942-77A0A"</f>
        <v>11942-77A0A</v>
      </c>
      <c r="B537" t="str">
        <f>"Кронштейн генератора"</f>
        <v>Кронштейн генератора</v>
      </c>
      <c r="C537">
        <v>11</v>
      </c>
      <c r="D537">
        <v>204.816</v>
      </c>
    </row>
    <row r="538" spans="1:4">
      <c r="A538" t="str">
        <f>"11944-95F0A"</f>
        <v>11944-95F0A</v>
      </c>
      <c r="B538" t="str">
        <f>"Ролик натяжителя рем"</f>
        <v>Ролик натяжителя рем</v>
      </c>
      <c r="C538">
        <v>35</v>
      </c>
      <c r="D538">
        <v>2745.0239999999999</v>
      </c>
    </row>
    <row r="539" spans="1:4">
      <c r="A539" t="str">
        <f>"11944-AX03B"</f>
        <v>11944-AX03B</v>
      </c>
      <c r="B539" t="str">
        <f>"Ролик натяжителя рем"</f>
        <v>Ролик натяжителя рем</v>
      </c>
      <c r="C539">
        <v>6</v>
      </c>
      <c r="D539">
        <v>3669.1439999999998</v>
      </c>
    </row>
    <row r="540" spans="1:4">
      <c r="A540" t="str">
        <f>"11944-EB31A"</f>
        <v>11944-EB31A</v>
      </c>
      <c r="B540" t="str">
        <f>"Ролик натяжителя рем"</f>
        <v>Ролик натяжителя рем</v>
      </c>
      <c r="C540">
        <v>55</v>
      </c>
      <c r="D540">
        <v>3290.9279999999999</v>
      </c>
    </row>
    <row r="541" spans="1:4">
      <c r="A541" t="str">
        <f>"11945-0W002"</f>
        <v>11945-0W002</v>
      </c>
      <c r="B541" t="str">
        <f>"PULLEY A-IDLER"</f>
        <v>PULLEY A-IDLER</v>
      </c>
      <c r="C541">
        <v>6</v>
      </c>
      <c r="D541">
        <v>2703.4079999999999</v>
      </c>
    </row>
    <row r="542" spans="1:4">
      <c r="A542" t="str">
        <f>"11945-86G0A"</f>
        <v>11945-86G0A</v>
      </c>
      <c r="B542" t="str">
        <f>"Ролик натяжителя рем"</f>
        <v>Ролик натяжителя рем</v>
      </c>
      <c r="C542">
        <v>7</v>
      </c>
      <c r="D542">
        <v>2620.9919999999997</v>
      </c>
    </row>
    <row r="543" spans="1:4">
      <c r="A543" t="str">
        <f>"11947-31U05"</f>
        <v>11947-31U05</v>
      </c>
      <c r="B543" t="str">
        <f>"PULLEY-IDLER"</f>
        <v>PULLEY-IDLER</v>
      </c>
      <c r="C543">
        <v>87</v>
      </c>
      <c r="D543">
        <v>1829.472</v>
      </c>
    </row>
    <row r="544" spans="1:4">
      <c r="A544" t="str">
        <f>"11947-AG300"</f>
        <v>11947-AG300</v>
      </c>
      <c r="B544" t="str">
        <f>"Ролик натяжителя рем"</f>
        <v>Ролик натяжителя рем</v>
      </c>
      <c r="C544">
        <v>12</v>
      </c>
      <c r="D544">
        <v>1769.904</v>
      </c>
    </row>
    <row r="545" spans="1:4">
      <c r="A545" t="str">
        <f>"11948-31U0A"</f>
        <v>11948-31U0A</v>
      </c>
      <c r="B545" t="str">
        <f>"Болт регулировочный "</f>
        <v xml:space="preserve">Болт регулировочный </v>
      </c>
      <c r="C545">
        <v>20</v>
      </c>
      <c r="D545">
        <v>251.32799999999997</v>
      </c>
    </row>
    <row r="546" spans="1:4">
      <c r="A546" t="str">
        <f>"11950-0F3XA"</f>
        <v>11950-0F3XA</v>
      </c>
      <c r="B546" t="str">
        <f>"Ремень гидроусилител"</f>
        <v>Ремень гидроусилител</v>
      </c>
      <c r="C546">
        <v>9</v>
      </c>
      <c r="D546">
        <v>346.8</v>
      </c>
    </row>
    <row r="547" spans="1:4">
      <c r="A547" t="str">
        <f>"11950-1CA0B"</f>
        <v>11950-1CA0B</v>
      </c>
      <c r="B547" t="str">
        <f>"Ремень гидроусилител"</f>
        <v>Ремень гидроусилител</v>
      </c>
      <c r="C547">
        <v>3</v>
      </c>
      <c r="D547">
        <v>542.64</v>
      </c>
    </row>
    <row r="548" spans="1:4">
      <c r="A548" t="str">
        <f>"11950-31UXM"</f>
        <v>11950-31UXM</v>
      </c>
      <c r="B548" t="str">
        <f>"Ремень гидроусилител"</f>
        <v>Ремень гидроусилител</v>
      </c>
      <c r="C548">
        <v>4</v>
      </c>
      <c r="D548">
        <v>304.36799999999999</v>
      </c>
    </row>
    <row r="549" spans="1:4">
      <c r="A549" t="str">
        <f>"11950-41BX1"</f>
        <v>11950-41BX1</v>
      </c>
      <c r="B549" t="str">
        <f>"BELT"</f>
        <v>BELT</v>
      </c>
      <c r="C549">
        <v>3</v>
      </c>
      <c r="D549">
        <v>341.08800000000002</v>
      </c>
    </row>
    <row r="550" spans="1:4">
      <c r="A550" t="str">
        <f>"11950-42LXM"</f>
        <v>11950-42LXM</v>
      </c>
      <c r="B550" t="str">
        <f>"Ремень гидроусилител"</f>
        <v>Ремень гидроусилител</v>
      </c>
      <c r="C550">
        <v>27</v>
      </c>
      <c r="D550">
        <v>301.91999999999996</v>
      </c>
    </row>
    <row r="551" spans="1:4">
      <c r="A551" t="str">
        <f>"11950-4S100"</f>
        <v>11950-4S100</v>
      </c>
      <c r="B551" t="str">
        <f>"BELT POWER STEE"</f>
        <v>BELT POWER STEE</v>
      </c>
      <c r="C551">
        <v>0</v>
      </c>
      <c r="D551">
        <v>584.66399999999999</v>
      </c>
    </row>
    <row r="552" spans="1:4">
      <c r="A552" t="str">
        <f>"11950-53JX5"</f>
        <v>11950-53JX5</v>
      </c>
      <c r="B552" t="str">
        <f>"BELT"</f>
        <v>BELT</v>
      </c>
      <c r="C552">
        <v>40</v>
      </c>
      <c r="D552">
        <v>376.584</v>
      </c>
    </row>
    <row r="553" spans="1:4">
      <c r="A553" t="str">
        <f>"11950-95F0A"</f>
        <v>11950-95F0A</v>
      </c>
      <c r="B553" t="str">
        <f>"Ремень гидроусилител"</f>
        <v>Ремень гидроусилител</v>
      </c>
      <c r="C553">
        <v>67</v>
      </c>
      <c r="D553">
        <v>513.26400000000001</v>
      </c>
    </row>
    <row r="554" spans="1:4">
      <c r="A554" t="str">
        <f>"11950-9F610"</f>
        <v>11950-9F610</v>
      </c>
      <c r="B554" t="str">
        <f>"BELT-POWER STEE"</f>
        <v>BELT-POWER STEE</v>
      </c>
      <c r="C554">
        <v>36</v>
      </c>
      <c r="D554">
        <v>647.08799999999997</v>
      </c>
    </row>
    <row r="555" spans="1:4">
      <c r="A555" t="str">
        <f>"11950-AR00A"</f>
        <v>11950-AR00A</v>
      </c>
      <c r="B555" t="str">
        <f>"Ремень гидроуселител"</f>
        <v>Ремень гидроуселител</v>
      </c>
      <c r="C555">
        <v>32</v>
      </c>
      <c r="D555">
        <v>510.40799999999996</v>
      </c>
    </row>
    <row r="556" spans="1:4">
      <c r="A556" t="str">
        <f>"11950-EB70A"</f>
        <v>11950-EB70A</v>
      </c>
      <c r="B556" t="str">
        <f>"Ремень гидроусилител"</f>
        <v>Ремень гидроусилител</v>
      </c>
      <c r="C556">
        <v>77</v>
      </c>
      <c r="D556">
        <v>512.04</v>
      </c>
    </row>
    <row r="557" spans="1:4">
      <c r="A557" t="str">
        <f>"11950-F61XA"</f>
        <v>11950-F61XA</v>
      </c>
      <c r="B557" t="str">
        <f>"РЕМЕНЬ"</f>
        <v>РЕМЕНЬ</v>
      </c>
      <c r="C557">
        <v>3</v>
      </c>
      <c r="D557">
        <v>224.4</v>
      </c>
    </row>
    <row r="558" spans="1:4">
      <c r="A558" t="str">
        <f>"11950-VB2X0"</f>
        <v>11950-VB2X0</v>
      </c>
      <c r="B558" t="str">
        <f>"Ремень гидроусилител"</f>
        <v>Ремень гидроусилител</v>
      </c>
      <c r="C558">
        <v>5</v>
      </c>
      <c r="D558">
        <v>352.92</v>
      </c>
    </row>
    <row r="559" spans="1:4">
      <c r="A559" t="str">
        <f>"11950-VB3X0"</f>
        <v>11950-VB3X0</v>
      </c>
      <c r="B559" t="str">
        <f>"BELT"</f>
        <v>BELT</v>
      </c>
      <c r="C559">
        <v>11</v>
      </c>
      <c r="D559">
        <v>247.65599999999998</v>
      </c>
    </row>
    <row r="560" spans="1:4">
      <c r="A560" t="str">
        <f>"11955-1LA0A"</f>
        <v>11955-1LA0A</v>
      </c>
      <c r="B560" t="str">
        <f t="shared" ref="B560:B566" si="6">"Натяжитель приводног"</f>
        <v>Натяжитель приводног</v>
      </c>
      <c r="C560">
        <v>2</v>
      </c>
      <c r="D560">
        <v>6339.0959999999995</v>
      </c>
    </row>
    <row r="561" spans="1:4">
      <c r="A561" t="str">
        <f>"11955-5X00D"</f>
        <v>11955-5X00D</v>
      </c>
      <c r="B561" t="str">
        <f t="shared" si="6"/>
        <v>Натяжитель приводног</v>
      </c>
      <c r="C561">
        <v>2</v>
      </c>
      <c r="D561">
        <v>7247.7120000000004</v>
      </c>
    </row>
    <row r="562" spans="1:4">
      <c r="A562" t="str">
        <f>"11955-6N20C"</f>
        <v>11955-6N20C</v>
      </c>
      <c r="B562" t="str">
        <f t="shared" si="6"/>
        <v>Натяжитель приводног</v>
      </c>
      <c r="C562">
        <v>0</v>
      </c>
      <c r="D562">
        <v>2295.8159999999998</v>
      </c>
    </row>
    <row r="563" spans="1:4">
      <c r="A563" t="str">
        <f>"11955-7S00A"</f>
        <v>11955-7S00A</v>
      </c>
      <c r="B563" t="str">
        <f t="shared" si="6"/>
        <v>Натяжитель приводног</v>
      </c>
      <c r="C563">
        <v>20</v>
      </c>
      <c r="D563">
        <v>3102.8399999999997</v>
      </c>
    </row>
    <row r="564" spans="1:4">
      <c r="A564" t="str">
        <f>"11955-8J00A"</f>
        <v>11955-8J00A</v>
      </c>
      <c r="B564" t="str">
        <f t="shared" si="6"/>
        <v>Натяжитель приводног</v>
      </c>
      <c r="C564">
        <v>0</v>
      </c>
      <c r="D564">
        <v>1930.6559999999999</v>
      </c>
    </row>
    <row r="565" spans="1:4">
      <c r="A565" t="str">
        <f>"11955-AR00C"</f>
        <v>11955-AR00C</v>
      </c>
      <c r="B565" t="str">
        <f t="shared" si="6"/>
        <v>Натяжитель приводног</v>
      </c>
      <c r="C565">
        <v>32</v>
      </c>
      <c r="D565">
        <v>3926.5919999999996</v>
      </c>
    </row>
    <row r="566" spans="1:4">
      <c r="A566" t="str">
        <f>"11955-AR01A"</f>
        <v>11955-AR01A</v>
      </c>
      <c r="B566" t="str">
        <f t="shared" si="6"/>
        <v>Натяжитель приводног</v>
      </c>
      <c r="C566">
        <v>16</v>
      </c>
      <c r="D566">
        <v>3885.384</v>
      </c>
    </row>
    <row r="567" spans="1:4">
      <c r="A567" t="str">
        <f>"11955-EA20B"</f>
        <v>11955-EA20B</v>
      </c>
      <c r="B567" t="str">
        <f>"Натяжитель ремня"</f>
        <v>Натяжитель ремня</v>
      </c>
      <c r="C567">
        <v>24</v>
      </c>
      <c r="D567">
        <v>3128.136</v>
      </c>
    </row>
    <row r="568" spans="1:4">
      <c r="A568" t="str">
        <f>"11955-ET00A"</f>
        <v>11955-ET00A</v>
      </c>
      <c r="B568" t="str">
        <f>"Натяжитель приводног"</f>
        <v>Натяжитель приводног</v>
      </c>
      <c r="C568">
        <v>0</v>
      </c>
      <c r="D568">
        <v>2758.4879999999998</v>
      </c>
    </row>
    <row r="569" spans="1:4">
      <c r="A569" t="str">
        <f>"11955-JA00C"</f>
        <v>11955-JA00C</v>
      </c>
      <c r="B569" t="str">
        <f>"Натяжитель приводног"</f>
        <v>Натяжитель приводног</v>
      </c>
      <c r="C569">
        <v>0</v>
      </c>
      <c r="D569">
        <v>1923.3119999999999</v>
      </c>
    </row>
    <row r="570" spans="1:4">
      <c r="A570" t="str">
        <f>"11955-JA10B"</f>
        <v>11955-JA10B</v>
      </c>
      <c r="B570" t="str">
        <f>"Натяжитель приводног"</f>
        <v>Натяжитель приводног</v>
      </c>
      <c r="C570">
        <v>14</v>
      </c>
      <c r="D570">
        <v>3778.8959999999997</v>
      </c>
    </row>
    <row r="571" spans="1:4">
      <c r="A571" t="str">
        <f>"11955-JA10D"</f>
        <v>11955-JA10D</v>
      </c>
      <c r="B571" t="str">
        <f>"Натяжитель ремня"</f>
        <v>Натяжитель ремня</v>
      </c>
      <c r="C571">
        <v>0</v>
      </c>
      <c r="D571">
        <v>3778.8959999999997</v>
      </c>
    </row>
    <row r="572" spans="1:4">
      <c r="A572" t="str">
        <f>"11955-JD21A"</f>
        <v>11955-JD21A</v>
      </c>
      <c r="B572" t="str">
        <f>"Натяжитель приводног"</f>
        <v>Натяжитель приводног</v>
      </c>
      <c r="C572">
        <v>15</v>
      </c>
      <c r="D572">
        <v>2287.248</v>
      </c>
    </row>
    <row r="573" spans="1:4">
      <c r="A573" t="str">
        <f>"12010-BC07A"</f>
        <v>12010-BC07A</v>
      </c>
      <c r="B573" t="str">
        <f>"Поршень двигател"</f>
        <v>Поршень двигател</v>
      </c>
      <c r="C573">
        <v>1</v>
      </c>
      <c r="D573">
        <v>2110.5839999999998</v>
      </c>
    </row>
    <row r="574" spans="1:4">
      <c r="A574" t="str">
        <f>"12010-VX201"</f>
        <v>12010-VX201</v>
      </c>
      <c r="B574" t="str">
        <f>"Поршень двигател"</f>
        <v>Поршень двигател</v>
      </c>
      <c r="C574">
        <v>26</v>
      </c>
      <c r="D574">
        <v>2635.68</v>
      </c>
    </row>
    <row r="575" spans="1:4">
      <c r="A575" t="str">
        <f>"12010-VX211"</f>
        <v>12010-VX211</v>
      </c>
      <c r="B575" t="str">
        <f>"Поршень двигател"</f>
        <v>Поршень двигател</v>
      </c>
      <c r="C575">
        <v>35</v>
      </c>
      <c r="D575">
        <v>2660.1600000000003</v>
      </c>
    </row>
    <row r="576" spans="1:4">
      <c r="A576" t="str">
        <f>"12030-22J01"</f>
        <v>12030-22J01</v>
      </c>
      <c r="B576" t="str">
        <f>"BUSH PISTON PIN"</f>
        <v>BUSH PISTON PIN</v>
      </c>
      <c r="C576">
        <v>36</v>
      </c>
      <c r="D576">
        <v>191.352</v>
      </c>
    </row>
    <row r="577" spans="1:4">
      <c r="A577" t="str">
        <f>"12033-0W81A"</f>
        <v>12033-0W81A</v>
      </c>
      <c r="B577" t="str">
        <f>"Комплект поршневых к"</f>
        <v>Комплект поршневых к</v>
      </c>
      <c r="C577">
        <v>10</v>
      </c>
      <c r="D577">
        <v>4950.6720000000005</v>
      </c>
    </row>
    <row r="578" spans="1:4">
      <c r="A578" t="str">
        <f>"12033-2F000"</f>
        <v>12033-2F000</v>
      </c>
      <c r="B578" t="str">
        <f>"RING SET-PISTON"</f>
        <v>RING SET-PISTON</v>
      </c>
      <c r="C578">
        <v>0</v>
      </c>
      <c r="D578">
        <v>3914.76</v>
      </c>
    </row>
    <row r="579" spans="1:4">
      <c r="A579" t="str">
        <f>"12033-2J210"</f>
        <v>12033-2J210</v>
      </c>
      <c r="B579" t="str">
        <f>"Комплект поршневых к"</f>
        <v>Комплект поршневых к</v>
      </c>
      <c r="C579">
        <v>0</v>
      </c>
      <c r="D579">
        <v>2333.7599999999998</v>
      </c>
    </row>
    <row r="580" spans="1:4">
      <c r="A580" t="str">
        <f>"12033-2Y015"</f>
        <v>12033-2Y015</v>
      </c>
      <c r="B580" t="str">
        <f t="shared" ref="B580:B585" si="7">"RING SET PISTON"</f>
        <v>RING SET PISTON</v>
      </c>
      <c r="C580">
        <v>11</v>
      </c>
      <c r="D580">
        <v>3139.152</v>
      </c>
    </row>
    <row r="581" spans="1:4">
      <c r="A581" t="str">
        <f>"12033-2Y903"</f>
        <v>12033-2Y903</v>
      </c>
      <c r="B581" t="str">
        <f t="shared" si="7"/>
        <v>RING SET PISTON</v>
      </c>
      <c r="C581">
        <v>3</v>
      </c>
      <c r="D581">
        <v>3282.7679999999996</v>
      </c>
    </row>
    <row r="582" spans="1:4">
      <c r="A582" t="str">
        <f>"12033-31U10"</f>
        <v>12033-31U10</v>
      </c>
      <c r="B582" t="str">
        <f t="shared" si="7"/>
        <v>RING SET PISTON</v>
      </c>
      <c r="C582">
        <v>2</v>
      </c>
      <c r="D582">
        <v>3404.76</v>
      </c>
    </row>
    <row r="583" spans="1:4">
      <c r="A583" t="str">
        <f>"12033-3Y511"</f>
        <v>12033-3Y511</v>
      </c>
      <c r="B583" t="str">
        <f t="shared" si="7"/>
        <v>RING SET PISTON</v>
      </c>
      <c r="C583">
        <v>1</v>
      </c>
      <c r="D583">
        <v>3532.056</v>
      </c>
    </row>
    <row r="584" spans="1:4">
      <c r="A584" t="str">
        <f>"12033-41B02"</f>
        <v>12033-41B02</v>
      </c>
      <c r="B584" t="str">
        <f t="shared" si="7"/>
        <v>RING SET PISTON</v>
      </c>
      <c r="C584">
        <v>12</v>
      </c>
      <c r="D584">
        <v>2184.0239999999999</v>
      </c>
    </row>
    <row r="585" spans="1:4">
      <c r="A585" t="str">
        <f>"12033-4M510"</f>
        <v>12033-4M510</v>
      </c>
      <c r="B585" t="str">
        <f t="shared" si="7"/>
        <v>RING SET PISTON</v>
      </c>
      <c r="C585">
        <v>23</v>
      </c>
      <c r="D585">
        <v>1936.3679999999999</v>
      </c>
    </row>
    <row r="586" spans="1:4">
      <c r="A586" t="str">
        <f>"12033-4M801"</f>
        <v>12033-4M801</v>
      </c>
      <c r="B586" t="str">
        <f>"RING SET-PISTON"</f>
        <v>RING SET-PISTON</v>
      </c>
      <c r="C586">
        <v>2</v>
      </c>
      <c r="D586">
        <v>2593.6559999999999</v>
      </c>
    </row>
    <row r="587" spans="1:4">
      <c r="A587" t="str">
        <f>"12033-4W005"</f>
        <v>12033-4W005</v>
      </c>
      <c r="B587" t="str">
        <f>"RING SET-PISTON"</f>
        <v>RING SET-PISTON</v>
      </c>
      <c r="C587">
        <v>5</v>
      </c>
      <c r="D587">
        <v>3439.848</v>
      </c>
    </row>
    <row r="588" spans="1:4">
      <c r="A588" t="str">
        <f>"12033-5M370"</f>
        <v>12033-5M370</v>
      </c>
      <c r="B588" t="str">
        <f>"RING SET PISTON"</f>
        <v>RING SET PISTON</v>
      </c>
      <c r="C588">
        <v>36</v>
      </c>
      <c r="D588">
        <v>2132.616</v>
      </c>
    </row>
    <row r="589" spans="1:4">
      <c r="A589" t="str">
        <f>"12033-71J01"</f>
        <v>12033-71J01</v>
      </c>
      <c r="B589" t="str">
        <f>"RING SET-PISTON"</f>
        <v>RING SET-PISTON</v>
      </c>
      <c r="C589">
        <v>3</v>
      </c>
      <c r="D589">
        <v>4185.2639999999992</v>
      </c>
    </row>
    <row r="590" spans="1:4">
      <c r="A590" t="str">
        <f>"12033-7J60A"</f>
        <v>12033-7J60A</v>
      </c>
      <c r="B590" t="str">
        <f>"RING SET-PISTON"</f>
        <v>RING SET-PISTON</v>
      </c>
      <c r="C590">
        <v>13</v>
      </c>
      <c r="D590">
        <v>3731.5679999999998</v>
      </c>
    </row>
    <row r="591" spans="1:4">
      <c r="A591" t="str">
        <f>"12033-7J900"</f>
        <v>12033-7J900</v>
      </c>
      <c r="B591" t="str">
        <f>"Комплект поршневых к"</f>
        <v>Комплект поршневых к</v>
      </c>
      <c r="C591">
        <v>3</v>
      </c>
      <c r="D591">
        <v>2592.0239999999999</v>
      </c>
    </row>
    <row r="592" spans="1:4">
      <c r="A592" t="str">
        <f>"12033-7J910"</f>
        <v>12033-7J910</v>
      </c>
      <c r="B592" t="str">
        <f>"RING SET PISTON"</f>
        <v>RING SET PISTON</v>
      </c>
      <c r="C592">
        <v>19</v>
      </c>
      <c r="D592">
        <v>3931.8959999999997</v>
      </c>
    </row>
    <row r="593" spans="1:4">
      <c r="A593" t="str">
        <f>"12033-7S002"</f>
        <v>12033-7S002</v>
      </c>
      <c r="B593" t="str">
        <f>"Комплект поршневых к"</f>
        <v>Комплект поршневых к</v>
      </c>
      <c r="C593">
        <v>9</v>
      </c>
      <c r="D593">
        <v>6638.16</v>
      </c>
    </row>
    <row r="594" spans="1:4">
      <c r="A594" t="str">
        <f>"12033-81T10"</f>
        <v>12033-81T10</v>
      </c>
      <c r="B594" t="str">
        <f>"RING SET PISTON"</f>
        <v>RING SET PISTON</v>
      </c>
      <c r="C594">
        <v>5</v>
      </c>
      <c r="D594">
        <v>4470.8639999999996</v>
      </c>
    </row>
    <row r="595" spans="1:4">
      <c r="A595" t="str">
        <f>"12033-86G00"</f>
        <v>12033-86G00</v>
      </c>
      <c r="B595" t="str">
        <f>"RING SET PISTON"</f>
        <v>RING SET PISTON</v>
      </c>
      <c r="C595">
        <v>3</v>
      </c>
      <c r="D595">
        <v>2101.1999999999998</v>
      </c>
    </row>
    <row r="596" spans="1:4">
      <c r="A596" t="str">
        <f>"12033-86G01"</f>
        <v>12033-86G01</v>
      </c>
      <c r="B596" t="str">
        <f>"Комплект поршневых к"</f>
        <v>Комплект поршневых к</v>
      </c>
      <c r="C596">
        <v>5</v>
      </c>
      <c r="D596">
        <v>2101.1999999999998</v>
      </c>
    </row>
    <row r="597" spans="1:4">
      <c r="A597" t="str">
        <f>"12033-87A11"</f>
        <v>12033-87A11</v>
      </c>
      <c r="B597" t="str">
        <f>"RING SET PISTON"</f>
        <v>RING SET PISTON</v>
      </c>
      <c r="C597">
        <v>8</v>
      </c>
      <c r="D597">
        <v>1981.2479999999998</v>
      </c>
    </row>
    <row r="598" spans="1:4">
      <c r="A598" t="str">
        <f>"12033-8H301"</f>
        <v>12033-8H301</v>
      </c>
      <c r="B598" t="str">
        <f>"RING SET PISTON"</f>
        <v>RING SET PISTON</v>
      </c>
      <c r="C598">
        <v>3</v>
      </c>
      <c r="D598">
        <v>1910.2560000000001</v>
      </c>
    </row>
    <row r="599" spans="1:4">
      <c r="A599" t="str">
        <f>"12033-8J100"</f>
        <v>12033-8J100</v>
      </c>
      <c r="B599" t="str">
        <f>"RING SET-PISTON"</f>
        <v>RING SET-PISTON</v>
      </c>
      <c r="C599">
        <v>20</v>
      </c>
      <c r="D599">
        <v>3322.3439999999996</v>
      </c>
    </row>
    <row r="600" spans="1:4">
      <c r="A600" t="str">
        <f>"12033-94M02"</f>
        <v>12033-94M02</v>
      </c>
      <c r="B600" t="str">
        <f>"RING SET-PISTON"</f>
        <v>RING SET-PISTON</v>
      </c>
      <c r="C600">
        <v>39</v>
      </c>
      <c r="D600">
        <v>1956.768</v>
      </c>
    </row>
    <row r="601" spans="1:4">
      <c r="A601" t="str">
        <f>"12033-AE003"</f>
        <v>12033-AE003</v>
      </c>
      <c r="B601" t="str">
        <f>"RING SET PISTON"</f>
        <v>RING SET PISTON</v>
      </c>
      <c r="C601">
        <v>29</v>
      </c>
      <c r="D601">
        <v>1820.4959999999999</v>
      </c>
    </row>
    <row r="602" spans="1:4">
      <c r="A602" t="str">
        <f>"12033-AL501"</f>
        <v>12033-AL501</v>
      </c>
      <c r="B602" t="str">
        <f t="shared" ref="B602:B609" si="8">"Комплект поршневых к"</f>
        <v>Комплект поршневых к</v>
      </c>
      <c r="C602">
        <v>11</v>
      </c>
      <c r="D602">
        <v>3279.5039999999999</v>
      </c>
    </row>
    <row r="603" spans="1:4">
      <c r="A603" t="str">
        <f>"12033-AN202"</f>
        <v>12033-AN202</v>
      </c>
      <c r="B603" t="str">
        <f t="shared" si="8"/>
        <v>Комплект поршневых к</v>
      </c>
      <c r="C603">
        <v>6</v>
      </c>
      <c r="D603">
        <v>2182.7999999999997</v>
      </c>
    </row>
    <row r="604" spans="1:4">
      <c r="A604" t="str">
        <f>"12033-AR211"</f>
        <v>12033-AR211</v>
      </c>
      <c r="B604" t="str">
        <f t="shared" si="8"/>
        <v>Комплект поршневых к</v>
      </c>
      <c r="C604">
        <v>6</v>
      </c>
      <c r="D604">
        <v>6020.04</v>
      </c>
    </row>
    <row r="605" spans="1:4">
      <c r="A605" t="str">
        <f>"12033-BX010"</f>
        <v>12033-BX010</v>
      </c>
      <c r="B605" t="str">
        <f t="shared" si="8"/>
        <v>Комплект поршневых к</v>
      </c>
      <c r="C605">
        <v>7</v>
      </c>
      <c r="D605">
        <v>4140.7919999999995</v>
      </c>
    </row>
    <row r="606" spans="1:4">
      <c r="A606" t="str">
        <f>"12033-DB000"</f>
        <v>12033-DB000</v>
      </c>
      <c r="B606" t="str">
        <f t="shared" si="8"/>
        <v>Комплект поршневых к</v>
      </c>
      <c r="C606">
        <v>28</v>
      </c>
      <c r="D606">
        <v>1257.048</v>
      </c>
    </row>
    <row r="607" spans="1:4">
      <c r="A607" t="str">
        <f>"12033-DB010"</f>
        <v>12033-DB010</v>
      </c>
      <c r="B607" t="str">
        <f t="shared" si="8"/>
        <v>Комплект поршневых к</v>
      </c>
      <c r="C607">
        <v>19</v>
      </c>
      <c r="D607">
        <v>4857.6480000000001</v>
      </c>
    </row>
    <row r="608" spans="1:4">
      <c r="A608" t="str">
        <f>"12033-EB30B"</f>
        <v>12033-EB30B</v>
      </c>
      <c r="B608" t="str">
        <f t="shared" si="8"/>
        <v>Комплект поршневых к</v>
      </c>
      <c r="C608">
        <v>1</v>
      </c>
      <c r="D608">
        <v>4121.616</v>
      </c>
    </row>
    <row r="609" spans="1:4">
      <c r="A609" t="str">
        <f>"12033-EN20A"</f>
        <v>12033-EN20A</v>
      </c>
      <c r="B609" t="str">
        <f t="shared" si="8"/>
        <v>Комплект поршневых к</v>
      </c>
      <c r="C609">
        <v>23</v>
      </c>
      <c r="D609">
        <v>2394.1439999999998</v>
      </c>
    </row>
    <row r="610" spans="1:4">
      <c r="A610" t="str">
        <f>"12033-JG30A"</f>
        <v>12033-JG30A</v>
      </c>
      <c r="B610" t="str">
        <f>"Кольца поршневые к-т"</f>
        <v>Кольца поршневые к-т</v>
      </c>
      <c r="C610">
        <v>1</v>
      </c>
      <c r="D610">
        <v>2487.9839999999999</v>
      </c>
    </row>
    <row r="611" spans="1:4">
      <c r="A611" t="str">
        <f>"12033-VC200"</f>
        <v>12033-VC200</v>
      </c>
      <c r="B611" t="str">
        <f>"RING SET-PISTON"</f>
        <v>RING SET-PISTON</v>
      </c>
      <c r="C611">
        <v>2</v>
      </c>
      <c r="D611">
        <v>5337.4560000000001</v>
      </c>
    </row>
    <row r="612" spans="1:4">
      <c r="A612" t="str">
        <f>"12035-2Y015"</f>
        <v>12035-2Y015</v>
      </c>
      <c r="B612" t="str">
        <f>"Комплект поршневых к"</f>
        <v>Комплект поршневых к</v>
      </c>
      <c r="C612">
        <v>3</v>
      </c>
      <c r="D612">
        <v>3232.1759999999999</v>
      </c>
    </row>
    <row r="613" spans="1:4">
      <c r="A613" t="str">
        <f>"12035-7J60A"</f>
        <v>12035-7J60A</v>
      </c>
      <c r="B613" t="str">
        <f>"Комплект поршневых к"</f>
        <v>Комплект поршневых к</v>
      </c>
      <c r="C613">
        <v>1</v>
      </c>
      <c r="D613">
        <v>4157.9279999999999</v>
      </c>
    </row>
    <row r="614" spans="1:4">
      <c r="A614" t="str">
        <f>"12035-8H301"</f>
        <v>12035-8H301</v>
      </c>
      <c r="B614" t="str">
        <f>"RING SET-PISTON"</f>
        <v>RING SET-PISTON</v>
      </c>
      <c r="C614">
        <v>6</v>
      </c>
      <c r="D614">
        <v>2634.0479999999998</v>
      </c>
    </row>
    <row r="615" spans="1:4">
      <c r="A615" t="str">
        <f>"12035-8J100"</f>
        <v>12035-8J100</v>
      </c>
      <c r="B615" t="str">
        <f>"Комплект поршневых к"</f>
        <v>Комплект поршневых к</v>
      </c>
      <c r="C615">
        <v>3</v>
      </c>
      <c r="D615">
        <v>3297.0479999999998</v>
      </c>
    </row>
    <row r="616" spans="1:4">
      <c r="A616" t="str">
        <f>"12035-AE003"</f>
        <v>12035-AE003</v>
      </c>
      <c r="B616" t="str">
        <f>"RING SET-PISTON"</f>
        <v>RING SET-PISTON</v>
      </c>
      <c r="C616">
        <v>12</v>
      </c>
      <c r="D616">
        <v>2374.152</v>
      </c>
    </row>
    <row r="617" spans="1:4">
      <c r="A617" t="str">
        <f>"12035-JP00A"</f>
        <v>12035-JP00A</v>
      </c>
      <c r="B617" t="str">
        <f>"Комплект поршневых к"</f>
        <v>Комплект поршневых к</v>
      </c>
      <c r="C617">
        <v>4</v>
      </c>
      <c r="D617">
        <v>3297.0479999999998</v>
      </c>
    </row>
    <row r="618" spans="1:4">
      <c r="A618" t="str">
        <f>"12036-2F000"</f>
        <v>12036-2F000</v>
      </c>
      <c r="B618" t="str">
        <f>"RING SET-PISTON"</f>
        <v>RING SET-PISTON</v>
      </c>
      <c r="C618">
        <v>5</v>
      </c>
      <c r="D618">
        <v>4185.2639999999992</v>
      </c>
    </row>
    <row r="619" spans="1:4">
      <c r="A619" t="str">
        <f>"12036-5M370"</f>
        <v>12036-5M370</v>
      </c>
      <c r="B619" t="str">
        <f>"RING SET-PISTON"</f>
        <v>RING SET-PISTON</v>
      </c>
      <c r="C619">
        <v>11</v>
      </c>
      <c r="D619">
        <v>2182.7999999999997</v>
      </c>
    </row>
    <row r="620" spans="1:4">
      <c r="A620" t="str">
        <f>"12036-7J60A"</f>
        <v>12036-7J60A</v>
      </c>
      <c r="B620" t="str">
        <f>"Комплект поршневых к"</f>
        <v>Комплект поршневых к</v>
      </c>
      <c r="C620">
        <v>15</v>
      </c>
      <c r="D620">
        <v>2513.6879999999996</v>
      </c>
    </row>
    <row r="621" spans="1:4">
      <c r="A621" t="str">
        <f>"12036-7J910"</f>
        <v>12036-7J910</v>
      </c>
      <c r="B621" t="str">
        <f>"Комплект поршневых к"</f>
        <v>Комплект поршневых к</v>
      </c>
      <c r="C621">
        <v>3</v>
      </c>
      <c r="D621">
        <v>2439.0239999999999</v>
      </c>
    </row>
    <row r="622" spans="1:4">
      <c r="A622" t="str">
        <f>"12036-81T10"</f>
        <v>12036-81T10</v>
      </c>
      <c r="B622" t="str">
        <f>"RING SET PISTON"</f>
        <v>RING SET PISTON</v>
      </c>
      <c r="C622">
        <v>11</v>
      </c>
      <c r="D622">
        <v>4556.9520000000002</v>
      </c>
    </row>
    <row r="623" spans="1:4">
      <c r="A623" t="str">
        <f>"12036-94M02"</f>
        <v>12036-94M02</v>
      </c>
      <c r="B623" t="str">
        <f>"RING SET PISTON"</f>
        <v>RING SET PISTON</v>
      </c>
      <c r="C623">
        <v>2</v>
      </c>
      <c r="D623">
        <v>1971.864</v>
      </c>
    </row>
    <row r="624" spans="1:4">
      <c r="A624" t="str">
        <f>"12100-2W20A"</f>
        <v>12100-2W20A</v>
      </c>
      <c r="B624" t="str">
        <f>"Шатун"</f>
        <v>Шатун</v>
      </c>
      <c r="C624">
        <v>1</v>
      </c>
      <c r="D624">
        <v>3926.5919999999996</v>
      </c>
    </row>
    <row r="625" spans="1:4">
      <c r="A625" t="str">
        <f>"12100-3TA0A"</f>
        <v>12100-3TA0A</v>
      </c>
      <c r="B625" t="str">
        <f>"Шатун двигателя"</f>
        <v>Шатун двигателя</v>
      </c>
      <c r="C625">
        <v>3</v>
      </c>
      <c r="D625">
        <v>3111</v>
      </c>
    </row>
    <row r="626" spans="1:4">
      <c r="A626" t="str">
        <f>"12100-4M500"</f>
        <v>12100-4M500</v>
      </c>
      <c r="B626" t="str">
        <f>"ROD COMP-CON"</f>
        <v>ROD COMP-CON</v>
      </c>
      <c r="C626">
        <v>14</v>
      </c>
      <c r="D626">
        <v>2472.0719999999997</v>
      </c>
    </row>
    <row r="627" spans="1:4">
      <c r="A627" t="str">
        <f>"12100-4W00C"</f>
        <v>12100-4W00C</v>
      </c>
      <c r="B627" t="str">
        <f>"Шатун двигателя"</f>
        <v>Шатун двигателя</v>
      </c>
      <c r="C627">
        <v>26</v>
      </c>
      <c r="D627">
        <v>3088.56</v>
      </c>
    </row>
    <row r="628" spans="1:4">
      <c r="A628" t="str">
        <f>"12109-4W002"</f>
        <v>12109-4W002</v>
      </c>
      <c r="B628" t="str">
        <f>"Болт шатуна двигател"</f>
        <v>Болт шатуна двигател</v>
      </c>
      <c r="C628">
        <v>31</v>
      </c>
      <c r="D628">
        <v>98.327999999999989</v>
      </c>
    </row>
    <row r="629" spans="1:4">
      <c r="A629" t="str">
        <f>"12111-02P00"</f>
        <v>12111-02P00</v>
      </c>
      <c r="B629" t="str">
        <f>"BEARING-CONNECT"</f>
        <v>BEARING-CONNECT</v>
      </c>
      <c r="C629">
        <v>80</v>
      </c>
      <c r="D629">
        <v>175.03200000000001</v>
      </c>
    </row>
    <row r="630" spans="1:4">
      <c r="A630" t="str">
        <f>"12111-1N500"</f>
        <v>12111-1N500</v>
      </c>
      <c r="B630" t="str">
        <f>"BUSH CON ROD"</f>
        <v>BUSH CON ROD</v>
      </c>
      <c r="C630">
        <v>11</v>
      </c>
      <c r="D630">
        <v>172.99199999999999</v>
      </c>
    </row>
    <row r="631" spans="1:4">
      <c r="A631" t="str">
        <f>"12111-22J12"</f>
        <v>12111-22J12</v>
      </c>
      <c r="B631" t="str">
        <f>"BUSH CON ROD"</f>
        <v>BUSH CON ROD</v>
      </c>
      <c r="C631">
        <v>17</v>
      </c>
      <c r="D631">
        <v>218.68800000000002</v>
      </c>
    </row>
    <row r="632" spans="1:4">
      <c r="A632" t="str">
        <f>"12111-2W20A"</f>
        <v>12111-2W20A</v>
      </c>
      <c r="B632" t="str">
        <f>"Вкладыш шатуна"</f>
        <v>Вкладыш шатуна</v>
      </c>
      <c r="C632">
        <v>32</v>
      </c>
      <c r="D632">
        <v>205.63200000000001</v>
      </c>
    </row>
    <row r="633" spans="1:4">
      <c r="A633" t="str">
        <f>"12111-31U10"</f>
        <v>12111-31U10</v>
      </c>
      <c r="B633" t="str">
        <f>"BUSH CON ROD"</f>
        <v>BUSH CON ROD</v>
      </c>
      <c r="C633">
        <v>32</v>
      </c>
      <c r="D633">
        <v>170.952</v>
      </c>
    </row>
    <row r="634" spans="1:4">
      <c r="A634" t="str">
        <f>"12111-31U11"</f>
        <v>12111-31U11</v>
      </c>
      <c r="B634" t="str">
        <f>"BUSH CON ROD"</f>
        <v>BUSH CON ROD</v>
      </c>
      <c r="C634">
        <v>19</v>
      </c>
      <c r="D634">
        <v>164.42400000000001</v>
      </c>
    </row>
    <row r="635" spans="1:4">
      <c r="A635" t="str">
        <f>"12111-31U12"</f>
        <v>12111-31U12</v>
      </c>
      <c r="B635" t="str">
        <f>"BUSH CON ROD"</f>
        <v>BUSH CON ROD</v>
      </c>
      <c r="C635">
        <v>32</v>
      </c>
      <c r="D635">
        <v>165.648</v>
      </c>
    </row>
    <row r="636" spans="1:4">
      <c r="A636" t="str">
        <f>"12111-4M50A"</f>
        <v>12111-4M50A</v>
      </c>
      <c r="B636" t="str">
        <f>"Вкладыш шатуна 1-о п"</f>
        <v>Вкладыш шатуна 1-о п</v>
      </c>
      <c r="C636">
        <v>77</v>
      </c>
      <c r="D636">
        <v>140.76</v>
      </c>
    </row>
    <row r="637" spans="1:4">
      <c r="A637" t="str">
        <f>"12111-4M51A"</f>
        <v>12111-4M51A</v>
      </c>
      <c r="B637" t="str">
        <f>"Вкладыш шатуна 1-о п"</f>
        <v>Вкладыш шатуна 1-о п</v>
      </c>
      <c r="C637">
        <v>135</v>
      </c>
      <c r="D637">
        <v>142.392</v>
      </c>
    </row>
    <row r="638" spans="1:4">
      <c r="A638" t="str">
        <f>"12111-4M52A"</f>
        <v>12111-4M52A</v>
      </c>
      <c r="B638" t="str">
        <f>"Вкладыш шатуна"</f>
        <v>Вкладыш шатуна</v>
      </c>
      <c r="C638">
        <v>0</v>
      </c>
      <c r="D638">
        <v>150.95999999999998</v>
      </c>
    </row>
    <row r="639" spans="1:4">
      <c r="A639" t="str">
        <f>"12111-60U00"</f>
        <v>12111-60U00</v>
      </c>
      <c r="B639" t="str">
        <f>"Вкладыш шатуна"</f>
        <v>Вкладыш шатуна</v>
      </c>
      <c r="C639">
        <v>46</v>
      </c>
      <c r="D639">
        <v>204</v>
      </c>
    </row>
    <row r="640" spans="1:4">
      <c r="A640" t="str">
        <f>"12111-AD20B"</f>
        <v>12111-AD20B</v>
      </c>
      <c r="B640" t="str">
        <f>"Вкладыш шатуна 1-о п"</f>
        <v>Вкладыш шатуна 1-о п</v>
      </c>
      <c r="C640">
        <v>64</v>
      </c>
      <c r="D640">
        <v>203.184</v>
      </c>
    </row>
    <row r="641" spans="1:4">
      <c r="A641" t="str">
        <f>"12111-AD21B"</f>
        <v>12111-AD21B</v>
      </c>
      <c r="B641" t="str">
        <f t="shared" ref="B641:B648" si="9">"Вкладыш шатуна"</f>
        <v>Вкладыш шатуна</v>
      </c>
      <c r="C641">
        <v>52</v>
      </c>
      <c r="D641">
        <v>203.184</v>
      </c>
    </row>
    <row r="642" spans="1:4">
      <c r="A642" t="str">
        <f>"12111-AD22B"</f>
        <v>12111-AD22B</v>
      </c>
      <c r="B642" t="str">
        <f t="shared" si="9"/>
        <v>Вкладыш шатуна</v>
      </c>
      <c r="C642">
        <v>32</v>
      </c>
      <c r="D642">
        <v>200.73599999999999</v>
      </c>
    </row>
    <row r="643" spans="1:4">
      <c r="A643" t="str">
        <f>"12111-BC000"</f>
        <v>12111-BC000</v>
      </c>
      <c r="B643" t="str">
        <f t="shared" si="9"/>
        <v>Вкладыш шатуна</v>
      </c>
      <c r="C643">
        <v>29</v>
      </c>
      <c r="D643">
        <v>170.952</v>
      </c>
    </row>
    <row r="644" spans="1:4">
      <c r="A644" t="str">
        <f>"12111-EA200"</f>
        <v>12111-EA200</v>
      </c>
      <c r="B644" t="str">
        <f t="shared" si="9"/>
        <v>Вкладыш шатуна</v>
      </c>
      <c r="C644">
        <v>48</v>
      </c>
      <c r="D644">
        <v>171.76799999999997</v>
      </c>
    </row>
    <row r="645" spans="1:4">
      <c r="A645" t="str">
        <f>"12111-EA201"</f>
        <v>12111-EA201</v>
      </c>
      <c r="B645" t="str">
        <f t="shared" si="9"/>
        <v>Вкладыш шатуна</v>
      </c>
      <c r="C645">
        <v>18</v>
      </c>
      <c r="D645">
        <v>174.21600000000001</v>
      </c>
    </row>
    <row r="646" spans="1:4">
      <c r="A646" t="str">
        <f>"12111-JA10C"</f>
        <v>12111-JA10C</v>
      </c>
      <c r="B646" t="str">
        <f t="shared" si="9"/>
        <v>Вкладыш шатуна</v>
      </c>
      <c r="C646">
        <v>0</v>
      </c>
      <c r="D646">
        <v>198.696</v>
      </c>
    </row>
    <row r="647" spans="1:4">
      <c r="A647" t="str">
        <f>"12111-JA11C"</f>
        <v>12111-JA11C</v>
      </c>
      <c r="B647" t="str">
        <f t="shared" si="9"/>
        <v>Вкладыш шатуна</v>
      </c>
      <c r="C647">
        <v>85</v>
      </c>
      <c r="D647">
        <v>175.84799999999998</v>
      </c>
    </row>
    <row r="648" spans="1:4">
      <c r="A648" t="str">
        <f>"12111-JA12C"</f>
        <v>12111-JA12C</v>
      </c>
      <c r="B648" t="str">
        <f t="shared" si="9"/>
        <v>Вкладыш шатуна</v>
      </c>
      <c r="C648">
        <v>1</v>
      </c>
      <c r="D648">
        <v>175.84799999999998</v>
      </c>
    </row>
    <row r="649" spans="1:4">
      <c r="A649" t="str">
        <f>"12111-MA00A"</f>
        <v>12111-MA00A</v>
      </c>
      <c r="B649" t="str">
        <f>"Вкладыш шатуна 1-о п"</f>
        <v>Вкладыш шатуна 1-о п</v>
      </c>
      <c r="C649">
        <v>50</v>
      </c>
      <c r="D649">
        <v>172.17599999999999</v>
      </c>
    </row>
    <row r="650" spans="1:4">
      <c r="A650" t="str">
        <f>"12111-MA01A"</f>
        <v>12111-MA01A</v>
      </c>
      <c r="B650" t="str">
        <f>"Вкладыш шатуна"</f>
        <v>Вкладыш шатуна</v>
      </c>
      <c r="C650">
        <v>45</v>
      </c>
      <c r="D650">
        <v>174.21600000000001</v>
      </c>
    </row>
    <row r="651" spans="1:4">
      <c r="A651" t="str">
        <f>"12111-MA02A"</f>
        <v>12111-MA02A</v>
      </c>
      <c r="B651" t="str">
        <f>"Вкладыш шатуна 1-о п"</f>
        <v>Вкладыш шатуна 1-о п</v>
      </c>
      <c r="C651">
        <v>52</v>
      </c>
      <c r="D651">
        <v>174.21600000000001</v>
      </c>
    </row>
    <row r="652" spans="1:4">
      <c r="A652" t="str">
        <f>"12111-MA03A"</f>
        <v>12111-MA03A</v>
      </c>
      <c r="B652" t="str">
        <f>"Вкладыш шатуна 1-о п"</f>
        <v>Вкладыш шатуна 1-о п</v>
      </c>
      <c r="C652">
        <v>8</v>
      </c>
      <c r="D652">
        <v>169.32</v>
      </c>
    </row>
    <row r="653" spans="1:4">
      <c r="A653" t="str">
        <f>"12117-2W20A"</f>
        <v>12117-2W20A</v>
      </c>
      <c r="B653" t="str">
        <f>"Вкладыш шатуна 1-о п"</f>
        <v>Вкладыш шатуна 1-о п</v>
      </c>
      <c r="C653">
        <v>18</v>
      </c>
      <c r="D653">
        <v>198.28800000000001</v>
      </c>
    </row>
    <row r="654" spans="1:4">
      <c r="A654" t="str">
        <f>"12117-4W000"</f>
        <v>12117-4W000</v>
      </c>
      <c r="B654" t="str">
        <f>"Вкладыш шатуна"</f>
        <v>Вкладыш шатуна</v>
      </c>
      <c r="C654">
        <v>23</v>
      </c>
      <c r="D654">
        <v>199.10399999999998</v>
      </c>
    </row>
    <row r="655" spans="1:4">
      <c r="A655" t="str">
        <f>"12117-6N200"</f>
        <v>12117-6N200</v>
      </c>
      <c r="B655" t="str">
        <f>"BEARING-CONNECT"</f>
        <v>BEARING-CONNECT</v>
      </c>
      <c r="C655">
        <v>40</v>
      </c>
      <c r="D655">
        <v>174.624</v>
      </c>
    </row>
    <row r="656" spans="1:4">
      <c r="A656" t="str">
        <f>"12117-95F0A"</f>
        <v>12117-95F0A</v>
      </c>
      <c r="B656" t="str">
        <f>"Вкладыш шатуна 1-о п"</f>
        <v>Вкладыш шатуна 1-о п</v>
      </c>
      <c r="C656">
        <v>11</v>
      </c>
      <c r="D656">
        <v>141.16800000000001</v>
      </c>
    </row>
    <row r="657" spans="1:4">
      <c r="A657" t="str">
        <f>"12117-AD20B"</f>
        <v>12117-AD20B</v>
      </c>
      <c r="B657" t="str">
        <f>"Вкладыш шатуна"</f>
        <v>Вкладыш шатуна</v>
      </c>
      <c r="C657">
        <v>8</v>
      </c>
      <c r="D657">
        <v>201.14400000000001</v>
      </c>
    </row>
    <row r="658" spans="1:4">
      <c r="A658" t="str">
        <f>"12118-4M50A"</f>
        <v>12118-4M50A</v>
      </c>
      <c r="B658" t="str">
        <f>"Вкладыш шатуна 1-о п"</f>
        <v>Вкладыш шатуна 1-о п</v>
      </c>
      <c r="C658">
        <v>10</v>
      </c>
      <c r="D658">
        <v>145.24799999999999</v>
      </c>
    </row>
    <row r="659" spans="1:4">
      <c r="A659" t="str">
        <f>"12118-60U00"</f>
        <v>12118-60U00</v>
      </c>
      <c r="B659" t="str">
        <f>"Вкладыш шатуна 1-о п"</f>
        <v>Вкладыш шатуна 1-о п</v>
      </c>
      <c r="C659">
        <v>0</v>
      </c>
      <c r="D659">
        <v>201.55199999999999</v>
      </c>
    </row>
    <row r="660" spans="1:4">
      <c r="A660" t="str">
        <f>"12118-AD20B"</f>
        <v>12118-AD20B</v>
      </c>
      <c r="B660" t="str">
        <f>"Вкладыш шатуна"</f>
        <v>Вкладыш шатуна</v>
      </c>
      <c r="C660">
        <v>20</v>
      </c>
      <c r="D660">
        <v>203.59199999999998</v>
      </c>
    </row>
    <row r="661" spans="1:4">
      <c r="A661" t="str">
        <f>"12200-5X00A"</f>
        <v>12200-5X00A</v>
      </c>
      <c r="B661" t="str">
        <f>"CRANKSHAFT ASSY"</f>
        <v>CRANKSHAFT ASSY</v>
      </c>
      <c r="C661">
        <v>0</v>
      </c>
      <c r="D661">
        <v>36330.767999999996</v>
      </c>
    </row>
    <row r="662" spans="1:4">
      <c r="A662" t="str">
        <f>"12200-AR000"</f>
        <v>12200-AR000</v>
      </c>
      <c r="B662" t="str">
        <f>"Коленвал"</f>
        <v>Коленвал</v>
      </c>
      <c r="C662">
        <v>1</v>
      </c>
      <c r="D662">
        <v>38434.415999999997</v>
      </c>
    </row>
    <row r="663" spans="1:4">
      <c r="A663" t="str">
        <f>"12201-4M518"</f>
        <v>12201-4M518</v>
      </c>
      <c r="B663" t="str">
        <f>"CRANKSHAFT ASSY"</f>
        <v>CRANKSHAFT ASSY</v>
      </c>
      <c r="C663">
        <v>3</v>
      </c>
      <c r="D663">
        <v>26819.064000000002</v>
      </c>
    </row>
    <row r="664" spans="1:4">
      <c r="A664" t="str">
        <f>"12207-31U00"</f>
        <v>12207-31U00</v>
      </c>
      <c r="B664" t="str">
        <f>"BUSHING CRANK"</f>
        <v>BUSHING CRANK</v>
      </c>
      <c r="C664">
        <v>94</v>
      </c>
      <c r="D664">
        <v>199.51199999999997</v>
      </c>
    </row>
    <row r="665" spans="1:4">
      <c r="A665" t="str">
        <f>"12207-31U01"</f>
        <v>12207-31U01</v>
      </c>
      <c r="B665" t="str">
        <f>"BUSHING CRANK"</f>
        <v>BUSHING CRANK</v>
      </c>
      <c r="C665">
        <v>1</v>
      </c>
      <c r="D665">
        <v>194.61600000000001</v>
      </c>
    </row>
    <row r="666" spans="1:4">
      <c r="A666" t="str">
        <f>"12207-31U02"</f>
        <v>12207-31U02</v>
      </c>
      <c r="B666" t="str">
        <f>"BUSHING CRANK"</f>
        <v>BUSHING CRANK</v>
      </c>
      <c r="C666">
        <v>10</v>
      </c>
      <c r="D666">
        <v>192.57599999999999</v>
      </c>
    </row>
    <row r="667" spans="1:4">
      <c r="A667" t="str">
        <f>"12207-31U03"</f>
        <v>12207-31U03</v>
      </c>
      <c r="B667" t="str">
        <f>"BUSHING CRANK"</f>
        <v>BUSHING CRANK</v>
      </c>
      <c r="C667">
        <v>31</v>
      </c>
      <c r="D667">
        <v>190.12799999999999</v>
      </c>
    </row>
    <row r="668" spans="1:4">
      <c r="A668" t="str">
        <f>"12207-31U04"</f>
        <v>12207-31U04</v>
      </c>
      <c r="B668" t="str">
        <f>"BEARING-CRANKSH"</f>
        <v>BEARING-CRANKSH</v>
      </c>
      <c r="C668">
        <v>19</v>
      </c>
      <c r="D668">
        <v>190.536</v>
      </c>
    </row>
    <row r="669" spans="1:4">
      <c r="A669" t="str">
        <f>"12207-31U05"</f>
        <v>12207-31U05</v>
      </c>
      <c r="B669" t="str">
        <f>"BUSHING CRANK"</f>
        <v>BUSHING CRANK</v>
      </c>
      <c r="C669">
        <v>27</v>
      </c>
      <c r="D669">
        <v>191.76000000000002</v>
      </c>
    </row>
    <row r="670" spans="1:4">
      <c r="A670" t="str">
        <f>"12207-4M50A"</f>
        <v>12207-4M50A</v>
      </c>
      <c r="B670" t="str">
        <f>"Вкладыш коленвала 2-"</f>
        <v>Вкладыш коленвала 2-</v>
      </c>
      <c r="C670">
        <v>9</v>
      </c>
      <c r="D670">
        <v>184.82400000000001</v>
      </c>
    </row>
    <row r="671" spans="1:4">
      <c r="A671" t="str">
        <f>"12207-4M51A"</f>
        <v>12207-4M51A</v>
      </c>
      <c r="B671" t="str">
        <f>"Вкладыш коленвала 2-"</f>
        <v>Вкладыш коленвала 2-</v>
      </c>
      <c r="C671">
        <v>41</v>
      </c>
      <c r="D671">
        <v>183.19199999999998</v>
      </c>
    </row>
    <row r="672" spans="1:4">
      <c r="A672" t="str">
        <f>"12207-4M52A"</f>
        <v>12207-4M52A</v>
      </c>
      <c r="B672" t="str">
        <f t="shared" ref="B672:B678" si="10">"Вкладыш коленвал"</f>
        <v>Вкладыш коленвал</v>
      </c>
      <c r="C672">
        <v>44</v>
      </c>
      <c r="D672">
        <v>182.78399999999999</v>
      </c>
    </row>
    <row r="673" spans="1:4">
      <c r="A673" t="str">
        <f>"12207-53Y0A"</f>
        <v>12207-53Y0A</v>
      </c>
      <c r="B673" t="str">
        <f t="shared" si="10"/>
        <v>Вкладыш коленвал</v>
      </c>
      <c r="C673">
        <v>2</v>
      </c>
      <c r="D673">
        <v>209.71199999999999</v>
      </c>
    </row>
    <row r="674" spans="1:4">
      <c r="A674" t="str">
        <f>"12207-53Y1A"</f>
        <v>12207-53Y1A</v>
      </c>
      <c r="B674" t="str">
        <f t="shared" si="10"/>
        <v>Вкладыш коленвал</v>
      </c>
      <c r="C674">
        <v>7</v>
      </c>
      <c r="D674">
        <v>215.01599999999999</v>
      </c>
    </row>
    <row r="675" spans="1:4">
      <c r="A675" t="str">
        <f>"12207-53Y2A"</f>
        <v>12207-53Y2A</v>
      </c>
      <c r="B675" t="str">
        <f t="shared" si="10"/>
        <v>Вкладыш коленвал</v>
      </c>
      <c r="C675">
        <v>9</v>
      </c>
      <c r="D675">
        <v>171.36</v>
      </c>
    </row>
    <row r="676" spans="1:4">
      <c r="A676" t="str">
        <f>"12207-6N20A"</f>
        <v>12207-6N20A</v>
      </c>
      <c r="B676" t="str">
        <f t="shared" si="10"/>
        <v>Вкладыш коленвал</v>
      </c>
      <c r="C676">
        <v>50</v>
      </c>
      <c r="D676">
        <v>189.31199999999998</v>
      </c>
    </row>
    <row r="677" spans="1:4">
      <c r="A677" t="str">
        <f>"12207-6N21A"</f>
        <v>12207-6N21A</v>
      </c>
      <c r="B677" t="str">
        <f t="shared" si="10"/>
        <v>Вкладыш коленвал</v>
      </c>
      <c r="C677">
        <v>0</v>
      </c>
      <c r="D677">
        <v>192.16799999999998</v>
      </c>
    </row>
    <row r="678" spans="1:4">
      <c r="A678" t="str">
        <f>"12207-6N22A"</f>
        <v>12207-6N22A</v>
      </c>
      <c r="B678" t="str">
        <f t="shared" si="10"/>
        <v>Вкладыш коленвал</v>
      </c>
      <c r="C678">
        <v>8</v>
      </c>
      <c r="D678">
        <v>185.64</v>
      </c>
    </row>
    <row r="679" spans="1:4">
      <c r="A679" t="str">
        <f>"12207-6N24A"</f>
        <v>12207-6N24A</v>
      </c>
      <c r="B679" t="str">
        <f>"Вкладыш коленвала 2-"</f>
        <v>Вкладыш коленвала 2-</v>
      </c>
      <c r="C679">
        <v>7</v>
      </c>
      <c r="D679">
        <v>194.61600000000001</v>
      </c>
    </row>
    <row r="680" spans="1:4">
      <c r="A680" t="str">
        <f>"12207-AG003"</f>
        <v>12207-AG003</v>
      </c>
      <c r="B680" t="str">
        <f>"BEARING-CRANKSH"</f>
        <v>BEARING-CRANKSH</v>
      </c>
      <c r="C680">
        <v>10</v>
      </c>
      <c r="D680">
        <v>201.55199999999999</v>
      </c>
    </row>
    <row r="681" spans="1:4">
      <c r="A681" t="str">
        <f>"12207-AG004"</f>
        <v>12207-AG004</v>
      </c>
      <c r="B681" t="str">
        <f>"BUSHING CRANK"</f>
        <v>BUSHING CRANK</v>
      </c>
      <c r="C681">
        <v>17</v>
      </c>
      <c r="D681">
        <v>201.14400000000001</v>
      </c>
    </row>
    <row r="682" spans="1:4">
      <c r="A682" t="str">
        <f>"12207-AR010"</f>
        <v>12207-AR010</v>
      </c>
      <c r="B682" t="str">
        <f>"Вкладыш коленвал"</f>
        <v>Вкладыш коленвал</v>
      </c>
      <c r="C682">
        <v>8</v>
      </c>
      <c r="D682">
        <v>201.55199999999999</v>
      </c>
    </row>
    <row r="683" spans="1:4">
      <c r="A683" t="str">
        <f>"12207-AR013"</f>
        <v>12207-AR013</v>
      </c>
      <c r="B683" t="str">
        <f>"Вкладыши коренны"</f>
        <v>Вкладыши коренны</v>
      </c>
      <c r="C683">
        <v>2</v>
      </c>
      <c r="D683">
        <v>211.34399999999999</v>
      </c>
    </row>
    <row r="684" spans="1:4">
      <c r="A684" t="str">
        <f>"12207-AR014"</f>
        <v>12207-AR014</v>
      </c>
      <c r="B684" t="str">
        <f>"Вкладыш коленвал"</f>
        <v>Вкладыш коленвал</v>
      </c>
      <c r="C684">
        <v>29</v>
      </c>
      <c r="D684">
        <v>205.63200000000001</v>
      </c>
    </row>
    <row r="685" spans="1:4">
      <c r="A685" t="str">
        <f>"12207-AR017"</f>
        <v>12207-AR017</v>
      </c>
      <c r="B685" t="str">
        <f>"Вкладыш коленвал"</f>
        <v>Вкладыш коленвал</v>
      </c>
      <c r="C685">
        <v>5</v>
      </c>
      <c r="D685">
        <v>163.19999999999999</v>
      </c>
    </row>
    <row r="686" spans="1:4">
      <c r="A686" t="str">
        <f>"12207-BC002"</f>
        <v>12207-BC002</v>
      </c>
      <c r="B686" t="str">
        <f>"Вкладыш коленвал"</f>
        <v>Вкладыш коленвал</v>
      </c>
      <c r="C686">
        <v>10</v>
      </c>
      <c r="D686">
        <v>189.72</v>
      </c>
    </row>
    <row r="687" spans="1:4">
      <c r="A687" t="str">
        <f>"12207-ES60A"</f>
        <v>12207-ES60A</v>
      </c>
      <c r="B687" t="str">
        <f>"Вкладыш коленвал"</f>
        <v>Вкладыш коленвал</v>
      </c>
      <c r="C687">
        <v>35</v>
      </c>
      <c r="D687">
        <v>192.16799999999998</v>
      </c>
    </row>
    <row r="688" spans="1:4">
      <c r="A688" t="str">
        <f>"12207-MA70A"</f>
        <v>12207-MA70A</v>
      </c>
      <c r="B688" t="str">
        <f>"Вкладыш коленвал"</f>
        <v>Вкладыш коленвал</v>
      </c>
      <c r="C688">
        <v>20</v>
      </c>
      <c r="D688">
        <v>1007.7599999999999</v>
      </c>
    </row>
    <row r="689" spans="1:4">
      <c r="A689" t="str">
        <f>"12208-31U25"</f>
        <v>12208-31U25</v>
      </c>
      <c r="B689" t="str">
        <f>"BEARING SET-CRA"</f>
        <v>BEARING SET-CRA</v>
      </c>
      <c r="C689">
        <v>10</v>
      </c>
      <c r="D689">
        <v>789.07199999999989</v>
      </c>
    </row>
    <row r="690" spans="1:4">
      <c r="A690" t="str">
        <f>"12208-4M50A"</f>
        <v>12208-4M50A</v>
      </c>
      <c r="B690" t="str">
        <f>"Вкладыш коленвала к-"</f>
        <v>Вкладыш коленвала к-</v>
      </c>
      <c r="C690">
        <v>10</v>
      </c>
      <c r="D690">
        <v>906.16800000000001</v>
      </c>
    </row>
    <row r="691" spans="1:4">
      <c r="A691" t="str">
        <f>"12209-MA70A"</f>
        <v>12209-MA70A</v>
      </c>
      <c r="B691" t="str">
        <f>"Вкладыш коленвала к-"</f>
        <v>Вкладыш коленвала к-</v>
      </c>
      <c r="C691">
        <v>2</v>
      </c>
      <c r="D691">
        <v>1020.8159999999999</v>
      </c>
    </row>
    <row r="692" spans="1:4">
      <c r="A692" t="str">
        <f>"12261-6N20A"</f>
        <v>12261-6N20A</v>
      </c>
      <c r="B692" t="str">
        <f>"Вкладыш коленвала 2-"</f>
        <v>Вкладыш коленвала 2-</v>
      </c>
      <c r="C692">
        <v>6</v>
      </c>
      <c r="D692">
        <v>192.57599999999999</v>
      </c>
    </row>
    <row r="693" spans="1:4">
      <c r="A693" t="str">
        <f>"12261-6N21A"</f>
        <v>12261-6N21A</v>
      </c>
      <c r="B693" t="str">
        <f>"Вкладыш коленвал"</f>
        <v>Вкладыш коленвал</v>
      </c>
      <c r="C693">
        <v>5</v>
      </c>
      <c r="D693">
        <v>194.208</v>
      </c>
    </row>
    <row r="694" spans="1:4">
      <c r="A694" t="str">
        <f>"12261-6N23A"</f>
        <v>12261-6N23A</v>
      </c>
      <c r="B694" t="str">
        <f>"Вкладыш коленвал"</f>
        <v>Вкладыш коленвал</v>
      </c>
      <c r="C694">
        <v>3</v>
      </c>
      <c r="D694">
        <v>187.68</v>
      </c>
    </row>
    <row r="695" spans="1:4">
      <c r="A695" t="str">
        <f>"12279-43G05"</f>
        <v>12279-43G05</v>
      </c>
      <c r="B695" t="str">
        <f>"SEAL OIL CR/SFT"</f>
        <v>SEAL OIL CR/SFT</v>
      </c>
      <c r="C695">
        <v>1</v>
      </c>
      <c r="D695">
        <v>2064.0719999999997</v>
      </c>
    </row>
    <row r="696" spans="1:4">
      <c r="A696" t="str">
        <f>"12279-5L310"</f>
        <v>12279-5L310</v>
      </c>
      <c r="B696" t="str">
        <f>"SEAL OIL CR/SFT"</f>
        <v>SEAL OIL CR/SFT</v>
      </c>
      <c r="C696">
        <v>5</v>
      </c>
      <c r="D696">
        <v>947.78399999999999</v>
      </c>
    </row>
    <row r="697" spans="1:4">
      <c r="A697" t="str">
        <f>"12279-6N200"</f>
        <v>12279-6N200</v>
      </c>
      <c r="B697" t="str">
        <f>"SEAL OIL CR/SFT"</f>
        <v>SEAL OIL CR/SFT</v>
      </c>
      <c r="C697">
        <v>11</v>
      </c>
      <c r="D697">
        <v>964.10399999999993</v>
      </c>
    </row>
    <row r="698" spans="1:4">
      <c r="A698" t="str">
        <f>"12279-7C600"</f>
        <v>12279-7C600</v>
      </c>
      <c r="B698" t="str">
        <f>"SEAL OIL CR/SFT"</f>
        <v>SEAL OIL CR/SFT</v>
      </c>
      <c r="C698">
        <v>6</v>
      </c>
      <c r="D698">
        <v>829.46400000000006</v>
      </c>
    </row>
    <row r="699" spans="1:4">
      <c r="A699" t="str">
        <f>"12279-AD205"</f>
        <v>12279-AD205</v>
      </c>
      <c r="B699" t="str">
        <f>"SEAL OIL CR/SFT"</f>
        <v>SEAL OIL CR/SFT</v>
      </c>
      <c r="C699">
        <v>3</v>
      </c>
      <c r="D699">
        <v>864.95999999999992</v>
      </c>
    </row>
    <row r="700" spans="1:4">
      <c r="A700" t="str">
        <f>"12279-AD220"</f>
        <v>12279-AD220</v>
      </c>
      <c r="B700" t="str">
        <f>"SEAL-OIL,CRANKS"</f>
        <v>SEAL-OIL,CRANKS</v>
      </c>
      <c r="C700">
        <v>7</v>
      </c>
      <c r="D700">
        <v>1052.232</v>
      </c>
    </row>
    <row r="701" spans="1:4">
      <c r="A701" t="str">
        <f>"12279-BX00A"</f>
        <v>12279-BX00A</v>
      </c>
      <c r="B701" t="str">
        <f>"Сальник коленвала за"</f>
        <v>Сальник коленвала за</v>
      </c>
      <c r="C701">
        <v>25</v>
      </c>
      <c r="D701">
        <v>855.16800000000001</v>
      </c>
    </row>
    <row r="702" spans="1:4">
      <c r="A702" t="str">
        <f>"12279-ED000"</f>
        <v>12279-ED000</v>
      </c>
      <c r="B702" t="str">
        <f>"Сальник коленвала за"</f>
        <v>Сальник коленвала за</v>
      </c>
      <c r="C702">
        <v>7</v>
      </c>
      <c r="D702">
        <v>923.71199999999999</v>
      </c>
    </row>
    <row r="703" spans="1:4">
      <c r="A703" t="str">
        <f>"12279-VC101"</f>
        <v>12279-VC101</v>
      </c>
      <c r="B703" t="str">
        <f>"SEAL OIL CR/SFT"</f>
        <v>SEAL OIL CR/SFT</v>
      </c>
      <c r="C703">
        <v>27</v>
      </c>
      <c r="D703">
        <v>1000.4159999999999</v>
      </c>
    </row>
    <row r="704" spans="1:4">
      <c r="A704" t="str">
        <f>"12280-2W21A"</f>
        <v>12280-2W21A</v>
      </c>
      <c r="B704" t="str">
        <f>"Шайба коленвала полу"</f>
        <v>Шайба коленвала полу</v>
      </c>
      <c r="C704">
        <v>11</v>
      </c>
      <c r="D704">
        <v>129.33599999999998</v>
      </c>
    </row>
    <row r="705" spans="1:4">
      <c r="A705" t="str">
        <f>"12280-2W21B"</f>
        <v>12280-2W21B</v>
      </c>
      <c r="B705" t="str">
        <f>"Шайба коленвала полу"</f>
        <v>Шайба коленвала полу</v>
      </c>
      <c r="C705">
        <v>16</v>
      </c>
      <c r="D705">
        <v>133.416</v>
      </c>
    </row>
    <row r="706" spans="1:4">
      <c r="A706" t="str">
        <f>"12280-2W21E"</f>
        <v>12280-2W21E</v>
      </c>
      <c r="B706" t="str">
        <f>"Шайба коленвала полу"</f>
        <v>Шайба коленвала полу</v>
      </c>
      <c r="C706">
        <v>11</v>
      </c>
      <c r="D706">
        <v>132.6</v>
      </c>
    </row>
    <row r="707" spans="1:4">
      <c r="A707" t="str">
        <f>"12280-31U1A"</f>
        <v>12280-31U1A</v>
      </c>
      <c r="B707" t="str">
        <f>"Шайба коленвала поло"</f>
        <v>Шайба коленвала поло</v>
      </c>
      <c r="C707">
        <v>15</v>
      </c>
      <c r="D707">
        <v>125.66399999999999</v>
      </c>
    </row>
    <row r="708" spans="1:4">
      <c r="A708" t="str">
        <f>"12280-60J00"</f>
        <v>12280-60J00</v>
      </c>
      <c r="B708" t="str">
        <f>"WASHER-THRUST"</f>
        <v>WASHER-THRUST</v>
      </c>
      <c r="C708">
        <v>10</v>
      </c>
      <c r="D708">
        <v>510.40799999999996</v>
      </c>
    </row>
    <row r="709" spans="1:4">
      <c r="A709" t="str">
        <f>"12280-6N20A"</f>
        <v>12280-6N20A</v>
      </c>
      <c r="B709" t="str">
        <f>"Шайба коленвала полу"</f>
        <v>Шайба коленвала полу</v>
      </c>
      <c r="C709">
        <v>19</v>
      </c>
      <c r="D709">
        <v>126.48</v>
      </c>
    </row>
    <row r="710" spans="1:4">
      <c r="A710" t="str">
        <f>"12280-95F0B"</f>
        <v>12280-95F0B</v>
      </c>
      <c r="B710" t="str">
        <f>"Шайба коленвала полу"</f>
        <v>Шайба коленвала полу</v>
      </c>
      <c r="C710">
        <v>40</v>
      </c>
      <c r="D710">
        <v>125.25599999999999</v>
      </c>
    </row>
    <row r="711" spans="1:4">
      <c r="A711" t="str">
        <f>"12280-EA20A"</f>
        <v>12280-EA20A</v>
      </c>
      <c r="B711" t="str">
        <f>"Шайба коленвала поло"</f>
        <v>Шайба коленвала поло</v>
      </c>
      <c r="C711">
        <v>2</v>
      </c>
      <c r="D711">
        <v>93.023999999999987</v>
      </c>
    </row>
    <row r="712" spans="1:4">
      <c r="A712" t="str">
        <f>"12280-ES60A"</f>
        <v>12280-ES60A</v>
      </c>
      <c r="B712" t="str">
        <f>"Шайба коленвала поло"</f>
        <v>Шайба коленвала поло</v>
      </c>
      <c r="C712">
        <v>8</v>
      </c>
      <c r="D712">
        <v>129.744</v>
      </c>
    </row>
    <row r="713" spans="1:4">
      <c r="A713" t="str">
        <f>"12281-31U1A"</f>
        <v>12281-31U1A</v>
      </c>
      <c r="B713" t="str">
        <f>"Шайба коленвала полу"</f>
        <v>Шайба коленвала полу</v>
      </c>
      <c r="C713">
        <v>15</v>
      </c>
      <c r="D713">
        <v>263.56799999999998</v>
      </c>
    </row>
    <row r="714" spans="1:4">
      <c r="A714" t="str">
        <f>"12281-6N20A"</f>
        <v>12281-6N20A</v>
      </c>
      <c r="B714" t="str">
        <f>"Шайба коленвала полу"</f>
        <v>Шайба коленвала полу</v>
      </c>
      <c r="C714">
        <v>30</v>
      </c>
      <c r="D714">
        <v>268.87200000000001</v>
      </c>
    </row>
    <row r="715" spans="1:4">
      <c r="A715" t="str">
        <f>"12293-38U1A"</f>
        <v>12293-38U1A</v>
      </c>
      <c r="B715" t="str">
        <f>"Болт блока двигателя"</f>
        <v>Болт блока двигателя</v>
      </c>
      <c r="C715">
        <v>0</v>
      </c>
      <c r="D715">
        <v>152.59199999999998</v>
      </c>
    </row>
    <row r="716" spans="1:4">
      <c r="A716" t="str">
        <f>"12296-31U20"</f>
        <v>12296-31U20</v>
      </c>
      <c r="B716" t="str">
        <f>"RETAINER ASSY-O"</f>
        <v>RETAINER ASSY-O</v>
      </c>
      <c r="C716">
        <v>34</v>
      </c>
      <c r="D716">
        <v>1024.896</v>
      </c>
    </row>
    <row r="717" spans="1:4">
      <c r="A717" t="str">
        <f>"12296-VC200"</f>
        <v>12296-VC200</v>
      </c>
      <c r="B717" t="str">
        <f>"RETAINER-OIL SE"</f>
        <v>RETAINER-OIL SE</v>
      </c>
      <c r="C717">
        <v>6</v>
      </c>
      <c r="D717">
        <v>1033.8719999999998</v>
      </c>
    </row>
    <row r="718" spans="1:4">
      <c r="A718" t="str">
        <f>"12303-0M311"</f>
        <v>12303-0M311</v>
      </c>
      <c r="B718" t="str">
        <f>"PULLY-CRANK"</f>
        <v>PULLY-CRANK</v>
      </c>
      <c r="C718">
        <v>3</v>
      </c>
      <c r="D718">
        <v>4323.576</v>
      </c>
    </row>
    <row r="719" spans="1:4">
      <c r="A719" t="str">
        <f>"12303-0W001"</f>
        <v>12303-0W001</v>
      </c>
      <c r="B719" t="str">
        <f>"PULLY-CRANK"</f>
        <v>PULLY-CRANK</v>
      </c>
      <c r="C719">
        <v>1</v>
      </c>
      <c r="D719">
        <v>5501.8799999999992</v>
      </c>
    </row>
    <row r="720" spans="1:4">
      <c r="A720" t="str">
        <f>"12303-0Y800"</f>
        <v>12303-0Y800</v>
      </c>
      <c r="B720" t="str">
        <f>"PULLEY-CRANKSHA"</f>
        <v>PULLEY-CRANKSHA</v>
      </c>
      <c r="C720">
        <v>4</v>
      </c>
      <c r="D720">
        <v>5732.4</v>
      </c>
    </row>
    <row r="721" spans="1:4">
      <c r="A721" t="str">
        <f>"12303-2W205"</f>
        <v>12303-2W205</v>
      </c>
      <c r="B721" t="str">
        <f>"PULLY-CRANK"</f>
        <v>PULLY-CRANK</v>
      </c>
      <c r="C721">
        <v>2</v>
      </c>
      <c r="D721">
        <v>4899.2639999999992</v>
      </c>
    </row>
    <row r="722" spans="1:4">
      <c r="A722" t="str">
        <f>"12303-31U1A"</f>
        <v>12303-31U1A</v>
      </c>
      <c r="B722" t="str">
        <f>"Шкив коленвала"</f>
        <v>Шкив коленвала</v>
      </c>
      <c r="C722">
        <v>5</v>
      </c>
      <c r="D722">
        <v>4247.6879999999992</v>
      </c>
    </row>
    <row r="723" spans="1:4">
      <c r="A723" t="str">
        <f>"12303-86G0A"</f>
        <v>12303-86G0A</v>
      </c>
      <c r="B723" t="str">
        <f>"Шкив коленвала"</f>
        <v>Шкив коленвала</v>
      </c>
      <c r="C723">
        <v>2</v>
      </c>
      <c r="D723">
        <v>4912.7280000000001</v>
      </c>
    </row>
    <row r="724" spans="1:4">
      <c r="A724" t="str">
        <f>"12303-9F610"</f>
        <v>12303-9F610</v>
      </c>
      <c r="B724" t="str">
        <f>"PULLEY-CRANKSHA"</f>
        <v>PULLEY-CRANKSHA</v>
      </c>
      <c r="C724">
        <v>0</v>
      </c>
      <c r="D724">
        <v>4600.2</v>
      </c>
    </row>
    <row r="725" spans="1:4">
      <c r="A725" t="str">
        <f>"12303-AR001"</f>
        <v>12303-AR001</v>
      </c>
      <c r="B725" t="str">
        <f>"Шкив коленвала"</f>
        <v>Шкив коленвала</v>
      </c>
      <c r="C725">
        <v>0</v>
      </c>
      <c r="D725">
        <v>5580.6240000000007</v>
      </c>
    </row>
    <row r="726" spans="1:4">
      <c r="A726" t="str">
        <f>"12307-0P00A"</f>
        <v>12307-0P00A</v>
      </c>
      <c r="B726" t="str">
        <f>"Втулка"</f>
        <v>Втулка</v>
      </c>
      <c r="C726">
        <v>2</v>
      </c>
      <c r="D726">
        <v>156.26399999999998</v>
      </c>
    </row>
    <row r="727" spans="1:4">
      <c r="A727" t="str">
        <f>"12308-V7200"</f>
        <v>12308-V7200</v>
      </c>
      <c r="B727" t="str">
        <f>"WASHER-PULLEY C"</f>
        <v>WASHER-PULLEY C</v>
      </c>
      <c r="C727">
        <v>5</v>
      </c>
      <c r="D727">
        <v>143.208</v>
      </c>
    </row>
    <row r="728" spans="1:4">
      <c r="A728" t="str">
        <f>"12309-42L00"</f>
        <v>12309-42L00</v>
      </c>
      <c r="B728" t="str">
        <f>"BOLT-PULLEY"</f>
        <v>BOLT-PULLEY</v>
      </c>
      <c r="C728">
        <v>6</v>
      </c>
      <c r="D728">
        <v>180.33599999999998</v>
      </c>
    </row>
    <row r="729" spans="1:4">
      <c r="A729" t="str">
        <f>"12310-1KA0A"</f>
        <v>12310-1KA0A</v>
      </c>
      <c r="B729" t="str">
        <f>"Маховик"</f>
        <v>Маховик</v>
      </c>
      <c r="C729">
        <v>6</v>
      </c>
      <c r="D729">
        <v>9109.8240000000005</v>
      </c>
    </row>
    <row r="730" spans="1:4">
      <c r="A730" t="str">
        <f>"12310-2Y01A"</f>
        <v>12310-2Y01A</v>
      </c>
      <c r="B730" t="str">
        <f>"Маховик"</f>
        <v>Маховик</v>
      </c>
      <c r="C730">
        <v>2</v>
      </c>
      <c r="D730">
        <v>12897.696</v>
      </c>
    </row>
    <row r="731" spans="1:4">
      <c r="A731" t="str">
        <f>"12310-8H301"</f>
        <v>12310-8H301</v>
      </c>
      <c r="B731" t="str">
        <f>"FLYWHEEL ASSY"</f>
        <v>FLYWHEEL ASSY</v>
      </c>
      <c r="C731">
        <v>11</v>
      </c>
      <c r="D731">
        <v>29165.064000000002</v>
      </c>
    </row>
    <row r="732" spans="1:4">
      <c r="A732" t="str">
        <f>"12310-8H801"</f>
        <v>12310-8H801</v>
      </c>
      <c r="B732" t="str">
        <f t="shared" ref="B732:B738" si="11">"Маховик"</f>
        <v>Маховик</v>
      </c>
      <c r="C732">
        <v>15</v>
      </c>
      <c r="D732">
        <v>39933</v>
      </c>
    </row>
    <row r="733" spans="1:4">
      <c r="A733" t="str">
        <f>"12310-AW400"</f>
        <v>12310-AW400</v>
      </c>
      <c r="B733" t="str">
        <f t="shared" si="11"/>
        <v>Маховик</v>
      </c>
      <c r="C733">
        <v>15</v>
      </c>
      <c r="D733">
        <v>21553.824000000001</v>
      </c>
    </row>
    <row r="734" spans="1:4">
      <c r="A734" t="str">
        <f>"12310-BM500"</f>
        <v>12310-BM500</v>
      </c>
      <c r="B734" t="str">
        <f t="shared" si="11"/>
        <v>Маховик</v>
      </c>
      <c r="C734">
        <v>3</v>
      </c>
      <c r="D734">
        <v>15629.255999999998</v>
      </c>
    </row>
    <row r="735" spans="1:4">
      <c r="A735" t="str">
        <f>"12310-EB30A"</f>
        <v>12310-EB30A</v>
      </c>
      <c r="B735" t="str">
        <f t="shared" si="11"/>
        <v>Маховик</v>
      </c>
      <c r="C735">
        <v>17</v>
      </c>
      <c r="D735">
        <v>20286.575999999997</v>
      </c>
    </row>
    <row r="736" spans="1:4">
      <c r="A736" t="str">
        <f>"12310-EB30C"</f>
        <v>12310-EB30C</v>
      </c>
      <c r="B736" t="str">
        <f t="shared" si="11"/>
        <v>Маховик</v>
      </c>
      <c r="C736">
        <v>0</v>
      </c>
      <c r="D736">
        <v>20590.535999999996</v>
      </c>
    </row>
    <row r="737" spans="1:4">
      <c r="A737" t="str">
        <f>"12310-ET01C"</f>
        <v>12310-ET01C</v>
      </c>
      <c r="B737" t="str">
        <f t="shared" si="11"/>
        <v>Маховик</v>
      </c>
      <c r="C737">
        <v>13</v>
      </c>
      <c r="D737">
        <v>31214.04</v>
      </c>
    </row>
    <row r="738" spans="1:4">
      <c r="A738" t="str">
        <f>"12310-JA00A"</f>
        <v>12310-JA00A</v>
      </c>
      <c r="B738" t="str">
        <f t="shared" si="11"/>
        <v>Маховик</v>
      </c>
      <c r="C738">
        <v>4</v>
      </c>
      <c r="D738">
        <v>27858.648000000001</v>
      </c>
    </row>
    <row r="739" spans="1:4">
      <c r="A739" t="str">
        <f>"12310-VB311"</f>
        <v>12310-VB311</v>
      </c>
      <c r="B739" t="str">
        <f>"FLYWHEEL ASSY"</f>
        <v>FLYWHEEL ASSY</v>
      </c>
      <c r="C739">
        <v>3</v>
      </c>
      <c r="D739">
        <v>38332.008000000002</v>
      </c>
    </row>
    <row r="740" spans="1:4">
      <c r="A740" t="str">
        <f>"12310-VC10A"</f>
        <v>12310-VC10A</v>
      </c>
      <c r="B740" t="str">
        <f>"Маховик"</f>
        <v>Маховик</v>
      </c>
      <c r="C740">
        <v>1</v>
      </c>
      <c r="D740">
        <v>37440.119999999995</v>
      </c>
    </row>
    <row r="741" spans="1:4">
      <c r="A741" t="str">
        <f>"12310-VD220"</f>
        <v>12310-VD220</v>
      </c>
      <c r="B741" t="str">
        <f>"Маховик"</f>
        <v>Маховик</v>
      </c>
      <c r="C741">
        <v>4</v>
      </c>
      <c r="D741">
        <v>35025.576000000001</v>
      </c>
    </row>
    <row r="742" spans="1:4">
      <c r="A742" t="str">
        <f>"12315-8H301"</f>
        <v>12315-8H301</v>
      </c>
      <c r="B742" t="str">
        <f>"Болт маховика"</f>
        <v>Болт маховика</v>
      </c>
      <c r="C742">
        <v>0</v>
      </c>
      <c r="D742">
        <v>118.32</v>
      </c>
    </row>
    <row r="743" spans="1:4">
      <c r="A743" t="str">
        <f>"12331-VC101"</f>
        <v>12331-VC101</v>
      </c>
      <c r="B743" t="str">
        <f>"PLATE ASSY-DRIV"</f>
        <v>PLATE ASSY-DRIV</v>
      </c>
      <c r="C743">
        <v>5</v>
      </c>
      <c r="D743">
        <v>10002.120000000001</v>
      </c>
    </row>
    <row r="744" spans="1:4">
      <c r="A744" t="str">
        <f>"12400-2W20B"</f>
        <v>12400-2W20B</v>
      </c>
      <c r="B744" t="str">
        <f>"Вал балансировоч"</f>
        <v>Вал балансировоч</v>
      </c>
      <c r="C744">
        <v>10</v>
      </c>
      <c r="D744">
        <v>2693.2080000000001</v>
      </c>
    </row>
    <row r="745" spans="1:4">
      <c r="A745" t="str">
        <f>"12400-2W21B"</f>
        <v>12400-2W21B</v>
      </c>
      <c r="B745" t="str">
        <f>"Вал балансировоч"</f>
        <v>Вал балансировоч</v>
      </c>
      <c r="C745">
        <v>2</v>
      </c>
      <c r="D745">
        <v>2665.056</v>
      </c>
    </row>
    <row r="746" spans="1:4">
      <c r="A746" t="str">
        <f>"13014-8H800"</f>
        <v>13014-8H800</v>
      </c>
      <c r="B746" t="str">
        <f>"SPROCKET-IDLER"</f>
        <v>SPROCKET-IDLER</v>
      </c>
      <c r="C746">
        <v>4</v>
      </c>
      <c r="D746">
        <v>2619.7679999999996</v>
      </c>
    </row>
    <row r="747" spans="1:4">
      <c r="A747" t="str">
        <f>"13014-EB70A"</f>
        <v>13014-EB70A</v>
      </c>
      <c r="B747" t="str">
        <f>"Шестерня распредвала"</f>
        <v>Шестерня распредвала</v>
      </c>
      <c r="C747">
        <v>0</v>
      </c>
      <c r="D747">
        <v>2665.8719999999998</v>
      </c>
    </row>
    <row r="748" spans="1:4">
      <c r="A748" t="str">
        <f>"13020-VB100"</f>
        <v>13020-VB100</v>
      </c>
      <c r="B748" t="str">
        <f>"CAMSHAFT ASSY"</f>
        <v>CAMSHAFT ASSY</v>
      </c>
      <c r="C748">
        <v>4</v>
      </c>
      <c r="D748">
        <v>16412.207999999999</v>
      </c>
    </row>
    <row r="749" spans="1:4">
      <c r="A749" t="str">
        <f>"13021-0M300"</f>
        <v>13021-0M300</v>
      </c>
      <c r="B749" t="str">
        <f>"GEAR CRANK"</f>
        <v>GEAR CRANK</v>
      </c>
      <c r="C749">
        <v>1</v>
      </c>
      <c r="D749">
        <v>875.56799999999998</v>
      </c>
    </row>
    <row r="750" spans="1:4">
      <c r="A750" t="str">
        <f>"13021-1LU0A"</f>
        <v>13021-1LU0A</v>
      </c>
      <c r="B750" t="str">
        <f>"Шестерня коленва"</f>
        <v>Шестерня коленва</v>
      </c>
      <c r="C750">
        <v>2</v>
      </c>
      <c r="D750">
        <v>428.4</v>
      </c>
    </row>
    <row r="751" spans="1:4">
      <c r="A751" t="str">
        <f>"13021-2W201"</f>
        <v>13021-2W201</v>
      </c>
      <c r="B751" t="str">
        <f>"Шестерня коленва"</f>
        <v>Шестерня коленва</v>
      </c>
      <c r="C751">
        <v>4</v>
      </c>
      <c r="D751">
        <v>841.29600000000005</v>
      </c>
    </row>
    <row r="752" spans="1:4">
      <c r="A752" t="str">
        <f>"13021-31U01"</f>
        <v>13021-31U01</v>
      </c>
      <c r="B752" t="str">
        <f>"GEAR CRANK"</f>
        <v>GEAR CRANK</v>
      </c>
      <c r="C752">
        <v>7</v>
      </c>
      <c r="D752">
        <v>674.42399999999998</v>
      </c>
    </row>
    <row r="753" spans="1:4">
      <c r="A753" t="str">
        <f>"13021-4M501"</f>
        <v>13021-4M501</v>
      </c>
      <c r="B753" t="str">
        <f>"GEAR CRANK"</f>
        <v>GEAR CRANK</v>
      </c>
      <c r="C753">
        <v>15</v>
      </c>
      <c r="D753">
        <v>316.2</v>
      </c>
    </row>
    <row r="754" spans="1:4">
      <c r="A754" t="str">
        <f>"13021-53J00"</f>
        <v>13021-53J00</v>
      </c>
      <c r="B754" t="str">
        <f>"GEAR CRANK"</f>
        <v>GEAR CRANK</v>
      </c>
      <c r="C754">
        <v>16</v>
      </c>
      <c r="D754">
        <v>317.01600000000002</v>
      </c>
    </row>
    <row r="755" spans="1:4">
      <c r="A755" t="str">
        <f>"13021-53Y01"</f>
        <v>13021-53Y01</v>
      </c>
      <c r="B755" t="str">
        <f>"GEAR CRANK"</f>
        <v>GEAR CRANK</v>
      </c>
      <c r="C755">
        <v>2</v>
      </c>
      <c r="D755">
        <v>767.04000000000008</v>
      </c>
    </row>
    <row r="756" spans="1:4">
      <c r="A756" t="str">
        <f>"13021-7Y000"</f>
        <v>13021-7Y000</v>
      </c>
      <c r="B756" t="str">
        <f>"Шестерня коленва"</f>
        <v>Шестерня коленва</v>
      </c>
      <c r="C756">
        <v>5</v>
      </c>
      <c r="D756">
        <v>651.98400000000004</v>
      </c>
    </row>
    <row r="757" spans="1:4">
      <c r="A757" t="str">
        <f>"13021-AD200"</f>
        <v>13021-AD200</v>
      </c>
      <c r="B757" t="str">
        <f>"SPROCKET-CRANKS"</f>
        <v>SPROCKET-CRANKS</v>
      </c>
      <c r="C757">
        <v>3</v>
      </c>
      <c r="D757">
        <v>1208.904</v>
      </c>
    </row>
    <row r="758" spans="1:4">
      <c r="A758" t="str">
        <f>"13021-BX000"</f>
        <v>13021-BX000</v>
      </c>
      <c r="B758" t="str">
        <f>"Шестерня коленва"</f>
        <v>Шестерня коленва</v>
      </c>
      <c r="C758">
        <v>2</v>
      </c>
      <c r="D758">
        <v>1254.5999999999999</v>
      </c>
    </row>
    <row r="759" spans="1:4">
      <c r="A759" t="str">
        <f>"13021-CK80A"</f>
        <v>13021-CK80A</v>
      </c>
      <c r="B759" t="str">
        <f>"Шестерня коленва"</f>
        <v>Шестерня коленва</v>
      </c>
      <c r="C759">
        <v>1</v>
      </c>
      <c r="D759">
        <v>767.85599999999999</v>
      </c>
    </row>
    <row r="760" spans="1:4">
      <c r="A760" t="str">
        <f>"13021-EA000"</f>
        <v>13021-EA000</v>
      </c>
      <c r="B760" t="str">
        <f>"Шестерня коленва"</f>
        <v>Шестерня коленва</v>
      </c>
      <c r="C760">
        <v>15</v>
      </c>
      <c r="D760">
        <v>722.56799999999998</v>
      </c>
    </row>
    <row r="761" spans="1:4">
      <c r="A761" t="str">
        <f>"13021-EA00A"</f>
        <v>13021-EA00A</v>
      </c>
      <c r="B761" t="str">
        <f>"нет детальки"</f>
        <v>нет детальки</v>
      </c>
      <c r="C761">
        <v>0</v>
      </c>
      <c r="D761">
        <v>722.56799999999998</v>
      </c>
    </row>
    <row r="762" spans="1:4">
      <c r="A762" t="str">
        <f>"13021-EB70A"</f>
        <v>13021-EB70A</v>
      </c>
      <c r="B762" t="str">
        <f>"Шестерня коленва"</f>
        <v>Шестерня коленва</v>
      </c>
      <c r="C762">
        <v>1</v>
      </c>
      <c r="D762">
        <v>1837.6319999999998</v>
      </c>
    </row>
    <row r="763" spans="1:4">
      <c r="A763" t="str">
        <f>"13021-V7200"</f>
        <v>13021-V7200</v>
      </c>
      <c r="B763" t="str">
        <f>"GEAR CRANK"</f>
        <v>GEAR CRANK</v>
      </c>
      <c r="C763">
        <v>8</v>
      </c>
      <c r="D763">
        <v>829.46400000000006</v>
      </c>
    </row>
    <row r="764" spans="1:4">
      <c r="A764" t="str">
        <f>"13021-VB302"</f>
        <v>13021-VB302</v>
      </c>
      <c r="B764" t="str">
        <f>"GEAR CRANK"</f>
        <v>GEAR CRANK</v>
      </c>
      <c r="C764">
        <v>7</v>
      </c>
      <c r="D764">
        <v>1938</v>
      </c>
    </row>
    <row r="765" spans="1:4">
      <c r="A765" t="str">
        <f>"13022-42L00"</f>
        <v>13022-42L00</v>
      </c>
      <c r="B765" t="str">
        <f>"PLATE-CRANKSHAF"</f>
        <v>PLATE-CRANKSHAF</v>
      </c>
      <c r="C765">
        <v>13</v>
      </c>
      <c r="D765">
        <v>74.256</v>
      </c>
    </row>
    <row r="766" spans="1:4">
      <c r="A766" t="str">
        <f>"13024-31U00"</f>
        <v>13024-31U00</v>
      </c>
      <c r="B766" t="str">
        <f t="shared" ref="B766:B772" si="12">"GEAR CAMSHAFT"</f>
        <v>GEAR CAMSHAFT</v>
      </c>
      <c r="C766">
        <v>11</v>
      </c>
      <c r="D766">
        <v>1289.28</v>
      </c>
    </row>
    <row r="767" spans="1:4">
      <c r="A767" t="str">
        <f>"13024-31U11"</f>
        <v>13024-31U11</v>
      </c>
      <c r="B767" t="str">
        <f t="shared" si="12"/>
        <v>GEAR CAMSHAFT</v>
      </c>
      <c r="C767">
        <v>36</v>
      </c>
      <c r="D767">
        <v>705.024</v>
      </c>
    </row>
    <row r="768" spans="1:4">
      <c r="A768" t="str">
        <f>"13024-31U21"</f>
        <v>13024-31U21</v>
      </c>
      <c r="B768" t="str">
        <f t="shared" si="12"/>
        <v>GEAR CAMSHAFT</v>
      </c>
      <c r="C768">
        <v>35</v>
      </c>
      <c r="D768">
        <v>700.53599999999994</v>
      </c>
    </row>
    <row r="769" spans="1:4">
      <c r="A769" t="str">
        <f>"13024-40F00"</f>
        <v>13024-40F00</v>
      </c>
      <c r="B769" t="str">
        <f t="shared" si="12"/>
        <v>GEAR CAMSHAFT</v>
      </c>
      <c r="C769">
        <v>6</v>
      </c>
      <c r="D769">
        <v>1269.6959999999999</v>
      </c>
    </row>
    <row r="770" spans="1:4">
      <c r="A770" t="str">
        <f>"13024-4M510"</f>
        <v>13024-4M510</v>
      </c>
      <c r="B770" t="str">
        <f t="shared" si="12"/>
        <v>GEAR CAMSHAFT</v>
      </c>
      <c r="C770">
        <v>37</v>
      </c>
      <c r="D770">
        <v>1233.3839999999998</v>
      </c>
    </row>
    <row r="771" spans="1:4">
      <c r="A771" t="str">
        <f>"13024-53J01"</f>
        <v>13024-53J01</v>
      </c>
      <c r="B771" t="str">
        <f t="shared" si="12"/>
        <v>GEAR CAMSHAFT</v>
      </c>
      <c r="C771">
        <v>28</v>
      </c>
      <c r="D771">
        <v>1250.5199999999998</v>
      </c>
    </row>
    <row r="772" spans="1:4">
      <c r="A772" t="str">
        <f>"13024-53Y02"</f>
        <v>13024-53Y02</v>
      </c>
      <c r="B772" t="str">
        <f t="shared" si="12"/>
        <v>GEAR CAMSHAFT</v>
      </c>
      <c r="C772">
        <v>35</v>
      </c>
      <c r="D772">
        <v>1239.912</v>
      </c>
    </row>
    <row r="773" spans="1:4">
      <c r="A773" t="str">
        <f>"13024-5M300"</f>
        <v>13024-5M300</v>
      </c>
      <c r="B773" t="str">
        <f>"Шестерня распредвала"</f>
        <v>Шестерня распредвала</v>
      </c>
      <c r="C773">
        <v>10</v>
      </c>
      <c r="D773">
        <v>1168.1039999999998</v>
      </c>
    </row>
    <row r="774" spans="1:4">
      <c r="A774" t="str">
        <f>"13024-6N211"</f>
        <v>13024-6N211</v>
      </c>
      <c r="B774" t="str">
        <f>"SPROCKET-CAMSHA"</f>
        <v>SPROCKET-CAMSHA</v>
      </c>
      <c r="C774">
        <v>25</v>
      </c>
      <c r="D774">
        <v>1219.1039999999998</v>
      </c>
    </row>
    <row r="775" spans="1:4">
      <c r="A775" t="str">
        <f>"13024-7Y000"</f>
        <v>13024-7Y000</v>
      </c>
      <c r="B775" t="str">
        <f>"Шестерня распредвала"</f>
        <v>Шестерня распредвала</v>
      </c>
      <c r="C775">
        <v>2</v>
      </c>
      <c r="D775">
        <v>1006.944</v>
      </c>
    </row>
    <row r="776" spans="1:4">
      <c r="A776" t="str">
        <f>"13024-8H800"</f>
        <v>13024-8H800</v>
      </c>
      <c r="B776" t="str">
        <f>"SPROCKET-CAMSHA"</f>
        <v>SPROCKET-CAMSHA</v>
      </c>
      <c r="C776">
        <v>12</v>
      </c>
      <c r="D776">
        <v>1483.0800000000002</v>
      </c>
    </row>
    <row r="777" spans="1:4">
      <c r="A777" t="str">
        <f>"13024-AD200"</f>
        <v>13024-AD200</v>
      </c>
      <c r="B777" t="str">
        <f>"GEAR CAMSHAFT"</f>
        <v>GEAR CAMSHAFT</v>
      </c>
      <c r="C777">
        <v>20</v>
      </c>
      <c r="D777">
        <v>1178.712</v>
      </c>
    </row>
    <row r="778" spans="1:4">
      <c r="A778" t="str">
        <f>"13024-BX000"</f>
        <v>13024-BX000</v>
      </c>
      <c r="B778" t="str">
        <f>"Шестерня распредвала"</f>
        <v>Шестерня распредвала</v>
      </c>
      <c r="C778">
        <v>6</v>
      </c>
      <c r="D778">
        <v>1755.2160000000001</v>
      </c>
    </row>
    <row r="779" spans="1:4">
      <c r="A779" t="str">
        <f>"13024-VB300"</f>
        <v>13024-VB300</v>
      </c>
      <c r="B779" t="str">
        <f>"SPROCKET-CAMSHA"</f>
        <v>SPROCKET-CAMSHA</v>
      </c>
      <c r="C779">
        <v>3</v>
      </c>
      <c r="D779">
        <v>1588.3439999999998</v>
      </c>
    </row>
    <row r="780" spans="1:4">
      <c r="A780" t="str">
        <f>"13025-4M700"</f>
        <v>13025-4M700</v>
      </c>
      <c r="B780" t="str">
        <f>"SPROCKET-CAMSHA"</f>
        <v>SPROCKET-CAMSHA</v>
      </c>
      <c r="C780">
        <v>2</v>
      </c>
      <c r="D780">
        <v>4931.0879999999997</v>
      </c>
    </row>
    <row r="781" spans="1:4">
      <c r="A781" t="str">
        <f>"13025-AE02A"</f>
        <v>13025-AE02A</v>
      </c>
      <c r="B781" t="str">
        <f>"Шестерня распредвала"</f>
        <v>Шестерня распредвала</v>
      </c>
      <c r="C781">
        <v>13</v>
      </c>
      <c r="D781">
        <v>11835.263999999999</v>
      </c>
    </row>
    <row r="782" spans="1:4">
      <c r="A782" t="str">
        <f>"13025-AU00A"</f>
        <v>13025-AU00A</v>
      </c>
      <c r="B782" t="str">
        <f>"Шестерня распредвала"</f>
        <v>Шестерня распредвала</v>
      </c>
      <c r="C782">
        <v>13</v>
      </c>
      <c r="D782">
        <v>11343.216</v>
      </c>
    </row>
    <row r="783" spans="1:4">
      <c r="A783" t="str">
        <f>"13025-AX011"</f>
        <v>13025-AX011</v>
      </c>
      <c r="B783" t="str">
        <f>"Шестерня распредвала"</f>
        <v>Шестерня распредвала</v>
      </c>
      <c r="C783">
        <v>18</v>
      </c>
      <c r="D783">
        <v>2976.7679999999996</v>
      </c>
    </row>
    <row r="784" spans="1:4">
      <c r="A784" t="str">
        <f>"13025-EA21A"</f>
        <v>13025-EA21A</v>
      </c>
      <c r="B784" t="str">
        <f>"Шестерня распредвала"</f>
        <v>Шестерня распредвала</v>
      </c>
      <c r="C784">
        <v>19</v>
      </c>
      <c r="D784">
        <v>11980.92</v>
      </c>
    </row>
    <row r="785" spans="1:4">
      <c r="A785" t="str">
        <f>"13025-JK20A"</f>
        <v>13025-JK20A</v>
      </c>
      <c r="B785" t="str">
        <f>"Шестерня распредвала"</f>
        <v>Шестерня распредвала</v>
      </c>
      <c r="C785">
        <v>4</v>
      </c>
      <c r="D785">
        <v>11483.567999999999</v>
      </c>
    </row>
    <row r="786" spans="1:4">
      <c r="A786" t="str">
        <f>"13028-0B7XE"</f>
        <v>13028-0B7XE</v>
      </c>
      <c r="B786" t="str">
        <f>"Ремень ГРМ зубчатый "</f>
        <v xml:space="preserve">Ремень ГРМ зубчатый </v>
      </c>
      <c r="C786">
        <v>20</v>
      </c>
      <c r="D786">
        <v>937.17599999999993</v>
      </c>
    </row>
    <row r="787" spans="1:4">
      <c r="A787" t="str">
        <f>"13028-16EXE"</f>
        <v>13028-16EXE</v>
      </c>
      <c r="B787" t="str">
        <f>"Ремень ГРМ зубчатый "</f>
        <v xml:space="preserve">Ремень ГРМ зубчатый </v>
      </c>
      <c r="C787">
        <v>5</v>
      </c>
      <c r="D787">
        <v>1054.2719999999999</v>
      </c>
    </row>
    <row r="788" spans="1:4">
      <c r="A788" t="str">
        <f>"13028-19VX5"</f>
        <v>13028-19VX5</v>
      </c>
      <c r="B788" t="str">
        <f>"Ремень ГРМ зубчатый "</f>
        <v xml:space="preserve">Ремень ГРМ зубчатый </v>
      </c>
      <c r="C788">
        <v>2</v>
      </c>
      <c r="D788">
        <v>632.4</v>
      </c>
    </row>
    <row r="789" spans="1:4">
      <c r="A789" t="str">
        <f>"13028-20PXE"</f>
        <v>13028-20PXE</v>
      </c>
      <c r="B789" t="str">
        <f>"Ремень ГРМ зубчатый "</f>
        <v xml:space="preserve">Ремень ГРМ зубчатый </v>
      </c>
      <c r="C789">
        <v>15</v>
      </c>
      <c r="D789">
        <v>945.3359999999999</v>
      </c>
    </row>
    <row r="790" spans="1:4">
      <c r="A790" t="str">
        <f>"13028-2F201"</f>
        <v>13028-2F201</v>
      </c>
      <c r="B790" t="str">
        <f>"CHAIN CAM SHAFT"</f>
        <v>CHAIN CAM SHAFT</v>
      </c>
      <c r="C790">
        <v>28</v>
      </c>
      <c r="D790">
        <v>2142.8159999999998</v>
      </c>
    </row>
    <row r="791" spans="1:4">
      <c r="A791" t="str">
        <f>"13028-2J6XE"</f>
        <v>13028-2J6XE</v>
      </c>
      <c r="B791" t="str">
        <f>"Ремень ГРМ зубчатый "</f>
        <v xml:space="preserve">Ремень ГРМ зубчатый </v>
      </c>
      <c r="C791">
        <v>1</v>
      </c>
      <c r="D791">
        <v>798.04799999999989</v>
      </c>
    </row>
    <row r="792" spans="1:4">
      <c r="A792" t="str">
        <f>"13028-2W200"</f>
        <v>13028-2W200</v>
      </c>
      <c r="B792" t="str">
        <f>"CHAIN CAM SHAFT"</f>
        <v>CHAIN CAM SHAFT</v>
      </c>
      <c r="C792">
        <v>21</v>
      </c>
      <c r="D792">
        <v>1376.184</v>
      </c>
    </row>
    <row r="793" spans="1:4">
      <c r="A793" t="str">
        <f>"13028-31U00"</f>
        <v>13028-31U00</v>
      </c>
      <c r="B793" t="str">
        <f>"CHAIN CAM SHAFT"</f>
        <v>CHAIN CAM SHAFT</v>
      </c>
      <c r="C793">
        <v>35</v>
      </c>
      <c r="D793">
        <v>2404.3439999999996</v>
      </c>
    </row>
    <row r="794" spans="1:4">
      <c r="A794" t="str">
        <f>"13028-31U12"</f>
        <v>13028-31U12</v>
      </c>
      <c r="B794" t="str">
        <f>"CHAIN CAM SHAFT"</f>
        <v>CHAIN CAM SHAFT</v>
      </c>
      <c r="C794">
        <v>31</v>
      </c>
      <c r="D794">
        <v>764.18400000000008</v>
      </c>
    </row>
    <row r="795" spans="1:4">
      <c r="A795" t="str">
        <f>"13028-40F01"</f>
        <v>13028-40F01</v>
      </c>
      <c r="B795" t="str">
        <f>"CHAIN CAM SHAFT"</f>
        <v>CHAIN CAM SHAFT</v>
      </c>
      <c r="C795">
        <v>11</v>
      </c>
      <c r="D795">
        <v>1791.9359999999999</v>
      </c>
    </row>
    <row r="796" spans="1:4">
      <c r="A796" t="str">
        <f>"13028-4M51A"</f>
        <v>13028-4M51A</v>
      </c>
      <c r="B796" t="str">
        <f>"Цепь ГРМ"</f>
        <v>Цепь ГРМ</v>
      </c>
      <c r="C796">
        <v>39</v>
      </c>
      <c r="D796">
        <v>3311.328</v>
      </c>
    </row>
    <row r="797" spans="1:4">
      <c r="A797" t="str">
        <f>"13028-53J03"</f>
        <v>13028-53J03</v>
      </c>
      <c r="B797" t="str">
        <f>"CHAIN CAM SHAFT"</f>
        <v>CHAIN CAM SHAFT</v>
      </c>
      <c r="C797">
        <v>10</v>
      </c>
      <c r="D797">
        <v>1910.2560000000001</v>
      </c>
    </row>
    <row r="798" spans="1:4">
      <c r="A798" t="str">
        <f>"13028-53Y00"</f>
        <v>13028-53Y00</v>
      </c>
      <c r="B798" t="str">
        <f>"CHAIN-TIMING"</f>
        <v>CHAIN-TIMING</v>
      </c>
      <c r="C798">
        <v>14</v>
      </c>
      <c r="D798">
        <v>1631.5920000000001</v>
      </c>
    </row>
    <row r="799" spans="1:4">
      <c r="A799" t="str">
        <f>"13028-53Y10"</f>
        <v>13028-53Y10</v>
      </c>
      <c r="B799" t="str">
        <f>"CHAIN CAM SHAFT"</f>
        <v>CHAIN CAM SHAFT</v>
      </c>
      <c r="C799">
        <v>1</v>
      </c>
      <c r="D799">
        <v>775.60800000000006</v>
      </c>
    </row>
    <row r="800" spans="1:4">
      <c r="A800" t="str">
        <f>"13028-5F601"</f>
        <v>13028-5F601</v>
      </c>
      <c r="B800" t="str">
        <f>"CHAIN-CAMSHAFT"</f>
        <v>CHAIN-CAMSHAFT</v>
      </c>
      <c r="C800">
        <v>6</v>
      </c>
      <c r="D800">
        <v>1451.664</v>
      </c>
    </row>
    <row r="801" spans="1:4">
      <c r="A801" t="str">
        <f>"13028-5F611"</f>
        <v>13028-5F611</v>
      </c>
      <c r="B801" t="str">
        <f>"CHAIN-CAMSHAFT"</f>
        <v>CHAIN-CAMSHAFT</v>
      </c>
      <c r="C801">
        <v>8</v>
      </c>
      <c r="D801">
        <v>891.4799999999999</v>
      </c>
    </row>
    <row r="802" spans="1:4">
      <c r="A802" t="str">
        <f>"13028-6N20A"</f>
        <v>13028-6N20A</v>
      </c>
      <c r="B802" t="str">
        <f>"Цепь ГРМ"</f>
        <v>Цепь ГРМ</v>
      </c>
      <c r="C802">
        <v>0</v>
      </c>
      <c r="D802">
        <v>3332.9519999999998</v>
      </c>
    </row>
    <row r="803" spans="1:4">
      <c r="A803" t="str">
        <f>"13028-6N210"</f>
        <v>13028-6N210</v>
      </c>
      <c r="B803" t="str">
        <f>"Цепь распредвала"</f>
        <v>Цепь распредвала</v>
      </c>
      <c r="C803">
        <v>5</v>
      </c>
      <c r="D803">
        <v>3525.5279999999998</v>
      </c>
    </row>
    <row r="804" spans="1:4">
      <c r="A804" t="str">
        <f>"13028-7C000"</f>
        <v>13028-7C000</v>
      </c>
      <c r="B804" t="str">
        <f>"BELT-TIMING"</f>
        <v>BELT-TIMING</v>
      </c>
      <c r="C804">
        <v>0</v>
      </c>
      <c r="D804">
        <v>1387.2</v>
      </c>
    </row>
    <row r="805" spans="1:4">
      <c r="A805" t="str">
        <f>"13028-81TX5"</f>
        <v>13028-81TX5</v>
      </c>
      <c r="B805" t="str">
        <f>"BELT-TIMING"</f>
        <v>BELT-TIMING</v>
      </c>
      <c r="C805">
        <v>14</v>
      </c>
      <c r="D805">
        <v>1082.8319999999999</v>
      </c>
    </row>
    <row r="806" spans="1:4">
      <c r="A806" t="str">
        <f>"13028-AD202"</f>
        <v>13028-AD202</v>
      </c>
      <c r="B806" t="str">
        <f>"CHAIN-CAMSHAFT"</f>
        <v>CHAIN-CAMSHAFT</v>
      </c>
      <c r="C806">
        <v>17</v>
      </c>
      <c r="D806">
        <v>4776.0479999999998</v>
      </c>
    </row>
    <row r="807" spans="1:4">
      <c r="A807" t="str">
        <f>"13028-AD20A"</f>
        <v>13028-AD20A</v>
      </c>
      <c r="B807" t="str">
        <f>"Цепь ГРМ"</f>
        <v>Цепь ГРМ</v>
      </c>
      <c r="C807">
        <v>6</v>
      </c>
      <c r="D807">
        <v>783.76799999999992</v>
      </c>
    </row>
    <row r="808" spans="1:4">
      <c r="A808" t="str">
        <f>"13028-AD212"</f>
        <v>13028-AD212</v>
      </c>
      <c r="B808" t="str">
        <f>"CHAIN CAM SHAFT"</f>
        <v>CHAIN CAM SHAFT</v>
      </c>
      <c r="C808">
        <v>15</v>
      </c>
      <c r="D808">
        <v>3757.2719999999999</v>
      </c>
    </row>
    <row r="809" spans="1:4">
      <c r="A809" t="str">
        <f>"13028-AX001"</f>
        <v>13028-AX001</v>
      </c>
      <c r="B809" t="str">
        <f>"CHAIN CAM SHAFT"</f>
        <v>CHAIN CAM SHAFT</v>
      </c>
      <c r="C809">
        <v>24</v>
      </c>
      <c r="D809">
        <v>2821.7280000000001</v>
      </c>
    </row>
    <row r="810" spans="1:4">
      <c r="A810" t="str">
        <f>"13028-EB30A"</f>
        <v>13028-EB30A</v>
      </c>
      <c r="B810" t="str">
        <f>"Цепь ГРМ"</f>
        <v>Цепь ГРМ</v>
      </c>
      <c r="C810">
        <v>19</v>
      </c>
      <c r="D810">
        <v>2188.1039999999998</v>
      </c>
    </row>
    <row r="811" spans="1:4">
      <c r="A811" t="str">
        <f>"13028-ED000"</f>
        <v>13028-ED000</v>
      </c>
      <c r="B811" t="str">
        <f>"Цепь ГРМ"</f>
        <v>Цепь ГРМ</v>
      </c>
      <c r="C811">
        <v>1</v>
      </c>
      <c r="D811">
        <v>1656.8879999999999</v>
      </c>
    </row>
    <row r="812" spans="1:4">
      <c r="A812" t="str">
        <f>"13028-ET000"</f>
        <v>13028-ET000</v>
      </c>
      <c r="B812" t="str">
        <f>"Цепь ГРМ"</f>
        <v>Цепь ГРМ</v>
      </c>
      <c r="C812">
        <v>2</v>
      </c>
      <c r="D812">
        <v>1957.5839999999998</v>
      </c>
    </row>
    <row r="813" spans="1:4">
      <c r="A813" t="str">
        <f>"13028-JK00A"</f>
        <v>13028-JK00A</v>
      </c>
      <c r="B813" t="str">
        <f>"Цепь ГРМ"</f>
        <v>Цепь ГРМ</v>
      </c>
      <c r="C813">
        <v>46</v>
      </c>
      <c r="D813">
        <v>3279.9120000000003</v>
      </c>
    </row>
    <row r="814" spans="1:4">
      <c r="A814" t="str">
        <f>"13028-JK20B"</f>
        <v>13028-JK20B</v>
      </c>
      <c r="B814" t="str">
        <f>"Цепь ГРМ"</f>
        <v>Цепь ГРМ</v>
      </c>
      <c r="C814">
        <v>23</v>
      </c>
      <c r="D814">
        <v>1300.2959999999998</v>
      </c>
    </row>
    <row r="815" spans="1:4">
      <c r="A815" t="str">
        <f>"13028-V72X5"</f>
        <v>13028-V72X5</v>
      </c>
      <c r="B815" t="str">
        <f>"BELT-TIMING"</f>
        <v>BELT-TIMING</v>
      </c>
      <c r="C815">
        <v>4</v>
      </c>
      <c r="D815">
        <v>1177.08</v>
      </c>
    </row>
    <row r="816" spans="1:4">
      <c r="A816" t="str">
        <f>"13028-ZJ00A"</f>
        <v>13028-ZJ00A</v>
      </c>
      <c r="B816" t="str">
        <f>"Цепь ГРМ"</f>
        <v>Цепь ГРМ</v>
      </c>
      <c r="C816">
        <v>4</v>
      </c>
      <c r="D816">
        <v>1376.184</v>
      </c>
    </row>
    <row r="817" spans="1:4">
      <c r="A817" t="str">
        <f>"13028-ZK01C"</f>
        <v>13028-ZK01C</v>
      </c>
      <c r="B817" t="str">
        <f>"Цепь ГРМ"</f>
        <v>Цепь ГРМ</v>
      </c>
      <c r="C817">
        <v>24</v>
      </c>
      <c r="D817">
        <v>1112.2080000000001</v>
      </c>
    </row>
    <row r="818" spans="1:4">
      <c r="A818" t="str">
        <f>"13028-ZS00A"</f>
        <v>13028-ZS00A</v>
      </c>
      <c r="B818" t="str">
        <f>"Цепь ГРМ"</f>
        <v>Цепь ГРМ</v>
      </c>
      <c r="C818">
        <v>3</v>
      </c>
      <c r="D818">
        <v>2102.8319999999999</v>
      </c>
    </row>
    <row r="819" spans="1:4">
      <c r="A819" t="str">
        <f>"13028-ZS70A"</f>
        <v>13028-ZS70A</v>
      </c>
      <c r="B819" t="str">
        <f>"Цепь ГРМ"</f>
        <v>Цепь ГРМ</v>
      </c>
      <c r="C819">
        <v>9</v>
      </c>
      <c r="D819">
        <v>1705.0319999999999</v>
      </c>
    </row>
    <row r="820" spans="1:4">
      <c r="A820" t="str">
        <f>"13034-VX00B"</f>
        <v>13034-VX00B</v>
      </c>
      <c r="B820" t="str">
        <f>"Крышка двигателя пер"</f>
        <v>Крышка двигателя пер</v>
      </c>
      <c r="C820">
        <v>5</v>
      </c>
      <c r="D820">
        <v>11147.375999999998</v>
      </c>
    </row>
    <row r="821" spans="1:4">
      <c r="A821" t="str">
        <f>"13041-6N20A"</f>
        <v>13041-6N20A</v>
      </c>
      <c r="B821" t="str">
        <f>"Боковая крышка голов"</f>
        <v>Боковая крышка голов</v>
      </c>
      <c r="C821">
        <v>10</v>
      </c>
      <c r="D821">
        <v>1887</v>
      </c>
    </row>
    <row r="822" spans="1:4">
      <c r="A822" t="str">
        <f>"13042-16A11"</f>
        <v>13042-16A11</v>
      </c>
      <c r="B822" t="str">
        <f>"SEAL-OIL CAMSHA"</f>
        <v>SEAL-OIL CAMSHA</v>
      </c>
      <c r="C822">
        <v>5</v>
      </c>
      <c r="D822">
        <v>248.88</v>
      </c>
    </row>
    <row r="823" spans="1:4">
      <c r="A823" t="str">
        <f>"13042-16V00"</f>
        <v>13042-16V00</v>
      </c>
      <c r="B823" t="str">
        <f>"SEAL-OIL CAMSHA"</f>
        <v>SEAL-OIL CAMSHA</v>
      </c>
      <c r="C823">
        <v>6</v>
      </c>
      <c r="D823">
        <v>238.27199999999999</v>
      </c>
    </row>
    <row r="824" spans="1:4">
      <c r="A824" t="str">
        <f>"13042-3HD0A"</f>
        <v>13042-3HD0A</v>
      </c>
      <c r="B824" t="str">
        <f>"Сальник распредв"</f>
        <v>Сальник распредв</v>
      </c>
      <c r="C824">
        <v>42</v>
      </c>
      <c r="D824">
        <v>248.47199999999998</v>
      </c>
    </row>
    <row r="825" spans="1:4">
      <c r="A825" t="str">
        <f>"13042-6N200"</f>
        <v>13042-6N200</v>
      </c>
      <c r="B825" t="str">
        <f>"SEAL-OIL,CAMSHA"</f>
        <v>SEAL-OIL,CAMSHA</v>
      </c>
      <c r="C825">
        <v>4</v>
      </c>
      <c r="D825">
        <v>248.47199999999998</v>
      </c>
    </row>
    <row r="826" spans="1:4">
      <c r="A826" t="str">
        <f>"13042-D0101"</f>
        <v>13042-D0101</v>
      </c>
      <c r="B826" t="str">
        <f>"SEAL-OIL CAMSHA"</f>
        <v>SEAL-OIL CAMSHA</v>
      </c>
      <c r="C826">
        <v>28</v>
      </c>
      <c r="D826">
        <v>157.89600000000002</v>
      </c>
    </row>
    <row r="827" spans="1:4">
      <c r="A827" t="str">
        <f>"13049-73C01"</f>
        <v>13049-73C01</v>
      </c>
      <c r="B827" t="str">
        <f>"INLET-WATER"</f>
        <v>INLET-WATER</v>
      </c>
      <c r="C827">
        <v>6</v>
      </c>
      <c r="D827">
        <v>931.05599999999993</v>
      </c>
    </row>
    <row r="828" spans="1:4">
      <c r="A828" t="str">
        <f>"13050-2W200"</f>
        <v>13050-2W200</v>
      </c>
      <c r="B828" t="str">
        <f>"GASKET"</f>
        <v>GASKET</v>
      </c>
      <c r="C828">
        <v>14</v>
      </c>
      <c r="D828">
        <v>34.68</v>
      </c>
    </row>
    <row r="829" spans="1:4">
      <c r="A829" t="str">
        <f>"13050-31U00"</f>
        <v>13050-31U00</v>
      </c>
      <c r="B829" t="str">
        <f>"GASKET-WATER IN"</f>
        <v>GASKET-WATER IN</v>
      </c>
      <c r="C829">
        <v>47</v>
      </c>
      <c r="D829">
        <v>84.455999999999989</v>
      </c>
    </row>
    <row r="830" spans="1:4">
      <c r="A830" t="str">
        <f>"13050-31U05"</f>
        <v>13050-31U05</v>
      </c>
      <c r="B830" t="str">
        <f>"GASKET WATER IN"</f>
        <v>GASKET WATER IN</v>
      </c>
      <c r="C830">
        <v>13</v>
      </c>
      <c r="D830">
        <v>57.527999999999999</v>
      </c>
    </row>
    <row r="831" spans="1:4">
      <c r="A831" t="str">
        <f>"13050-6N20A"</f>
        <v>13050-6N20A</v>
      </c>
      <c r="B831" t="str">
        <f>"Прокладка заливной г"</f>
        <v>Прокладка заливной г</v>
      </c>
      <c r="C831">
        <v>4</v>
      </c>
      <c r="D831">
        <v>87.311999999999998</v>
      </c>
    </row>
    <row r="832" spans="1:4">
      <c r="A832" t="str">
        <f>"13058-53Y00"</f>
        <v>13058-53Y00</v>
      </c>
      <c r="B832" t="str">
        <f>"BOLT-CAMSHAFT B"</f>
        <v>BOLT-CAMSHAFT B</v>
      </c>
      <c r="C832">
        <v>28</v>
      </c>
      <c r="D832">
        <v>50.591999999999992</v>
      </c>
    </row>
    <row r="833" spans="1:4">
      <c r="A833" t="str">
        <f>"13070-05E10"</f>
        <v>13070-05E10</v>
      </c>
      <c r="B833" t="str">
        <f>"TENSIONER ASSY-"</f>
        <v>TENSIONER ASSY-</v>
      </c>
      <c r="C833">
        <v>1</v>
      </c>
      <c r="D833">
        <v>991.84799999999996</v>
      </c>
    </row>
    <row r="834" spans="1:4">
      <c r="A834" t="str">
        <f>"13070-16A10"</f>
        <v>13070-16A10</v>
      </c>
      <c r="B834" t="str">
        <f>"TENSIONER-BELT"</f>
        <v>TENSIONER-BELT</v>
      </c>
      <c r="C834">
        <v>3</v>
      </c>
      <c r="D834">
        <v>1224.4079999999999</v>
      </c>
    </row>
    <row r="835" spans="1:4">
      <c r="A835" t="str">
        <f>"13070-1HC0A"</f>
        <v>13070-1HC0A</v>
      </c>
      <c r="B835" t="str">
        <f>"Натяжитель цепи"</f>
        <v>Натяжитель цепи</v>
      </c>
      <c r="C835">
        <v>1</v>
      </c>
      <c r="D835">
        <v>1080.384</v>
      </c>
    </row>
    <row r="836" spans="1:4">
      <c r="A836" t="str">
        <f>"13070-2J203"</f>
        <v>13070-2J203</v>
      </c>
      <c r="B836" t="str">
        <f>"TENSION CHAIN"</f>
        <v>TENSION CHAIN</v>
      </c>
      <c r="C836">
        <v>14</v>
      </c>
      <c r="D836">
        <v>1161.1679999999999</v>
      </c>
    </row>
    <row r="837" spans="1:4">
      <c r="A837" t="str">
        <f>"13070-2J600"</f>
        <v>13070-2J600</v>
      </c>
      <c r="B837" t="str">
        <f>"TENSIONER ASSY-"</f>
        <v>TENSIONER ASSY-</v>
      </c>
      <c r="C837">
        <v>5</v>
      </c>
      <c r="D837">
        <v>1326.4079999999999</v>
      </c>
    </row>
    <row r="838" spans="1:4">
      <c r="A838" t="str">
        <f>"13070-2U50A"</f>
        <v>13070-2U50A</v>
      </c>
      <c r="B838" t="str">
        <f>"Натяжитель цепи"</f>
        <v>Натяжитель цепи</v>
      </c>
      <c r="C838">
        <v>0</v>
      </c>
      <c r="D838">
        <v>1220.7359999999999</v>
      </c>
    </row>
    <row r="839" spans="1:4">
      <c r="A839" t="str">
        <f>"13070-2W200"</f>
        <v>13070-2W200</v>
      </c>
      <c r="B839" t="str">
        <f>"TENSION CHAIN"</f>
        <v>TENSION CHAIN</v>
      </c>
      <c r="C839">
        <v>8</v>
      </c>
      <c r="D839">
        <v>1080.384</v>
      </c>
    </row>
    <row r="840" spans="1:4">
      <c r="A840" t="str">
        <f>"13070-31U0A"</f>
        <v>13070-31U0A</v>
      </c>
      <c r="B840" t="str">
        <f>"Натяжитель цепи"</f>
        <v>Натяжитель цепи</v>
      </c>
      <c r="C840">
        <v>23</v>
      </c>
      <c r="D840">
        <v>980.01599999999985</v>
      </c>
    </row>
    <row r="841" spans="1:4">
      <c r="A841" t="str">
        <f>"13070-3C900"</f>
        <v>13070-3C900</v>
      </c>
      <c r="B841" t="str">
        <f>"Натяжитель цепи"</f>
        <v>Натяжитель цепи</v>
      </c>
      <c r="C841">
        <v>2</v>
      </c>
      <c r="D841">
        <v>1236.6479999999999</v>
      </c>
    </row>
    <row r="842" spans="1:4">
      <c r="A842" t="str">
        <f>"13070-40F06"</f>
        <v>13070-40F06</v>
      </c>
      <c r="B842" t="str">
        <f>"TENSION CHAIN"</f>
        <v>TENSION CHAIN</v>
      </c>
      <c r="C842">
        <v>14</v>
      </c>
      <c r="D842">
        <v>1218.288</v>
      </c>
    </row>
    <row r="843" spans="1:4">
      <c r="A843" t="str">
        <f>"13070-42L00"</f>
        <v>13070-42L00</v>
      </c>
      <c r="B843" t="str">
        <f>"TENSION BELT"</f>
        <v>TENSION BELT</v>
      </c>
      <c r="C843">
        <v>26</v>
      </c>
      <c r="D843">
        <v>1186.056</v>
      </c>
    </row>
    <row r="844" spans="1:4">
      <c r="A844" t="str">
        <f>"13070-53Y00"</f>
        <v>13070-53Y00</v>
      </c>
      <c r="B844" t="str">
        <f>"TENSION CHAIN"</f>
        <v>TENSION CHAIN</v>
      </c>
      <c r="C844">
        <v>0</v>
      </c>
      <c r="D844">
        <v>1116.288</v>
      </c>
    </row>
    <row r="845" spans="1:4">
      <c r="A845" t="str">
        <f>"13070-5L300"</f>
        <v>13070-5L300</v>
      </c>
      <c r="B845" t="str">
        <f>"TENSIONER ASSY-"</f>
        <v>TENSIONER ASSY-</v>
      </c>
      <c r="C845">
        <v>8</v>
      </c>
      <c r="D845">
        <v>1248.8879999999999</v>
      </c>
    </row>
    <row r="846" spans="1:4">
      <c r="A846" t="str">
        <f>"13070-6N215"</f>
        <v>13070-6N215</v>
      </c>
      <c r="B846" t="str">
        <f>"TENSIONER ASSY-"</f>
        <v>TENSIONER ASSY-</v>
      </c>
      <c r="C846">
        <v>22</v>
      </c>
      <c r="D846">
        <v>1121.5919999999999</v>
      </c>
    </row>
    <row r="847" spans="1:4">
      <c r="A847" t="str">
        <f>"13070-6N21A"</f>
        <v>13070-6N21A</v>
      </c>
      <c r="B847" t="str">
        <f>"Натяжитель цепи"</f>
        <v>Натяжитель цепи</v>
      </c>
      <c r="C847">
        <v>27</v>
      </c>
      <c r="D847">
        <v>974.30399999999986</v>
      </c>
    </row>
    <row r="848" spans="1:4">
      <c r="A848" t="str">
        <f>"13070-71J00"</f>
        <v>13070-71J00</v>
      </c>
      <c r="B848" t="str">
        <f>"TENSIONER ASSY-"</f>
        <v>TENSIONER ASSY-</v>
      </c>
      <c r="C848">
        <v>6</v>
      </c>
      <c r="D848">
        <v>2228.0879999999997</v>
      </c>
    </row>
    <row r="849" spans="1:4">
      <c r="A849" t="str">
        <f>"13070-8J12C"</f>
        <v>13070-8J12C</v>
      </c>
      <c r="B849" t="str">
        <f>"Натяжитель цепи"</f>
        <v>Натяжитель цепи</v>
      </c>
      <c r="C849">
        <v>27</v>
      </c>
      <c r="D849">
        <v>1164.432</v>
      </c>
    </row>
    <row r="850" spans="1:4">
      <c r="A850" t="str">
        <f>"13070-8J12D"</f>
        <v>13070-8J12D</v>
      </c>
      <c r="B850" t="str">
        <f>"Натяжитель цепи"</f>
        <v>Натяжитель цепи</v>
      </c>
      <c r="C850">
        <v>16</v>
      </c>
      <c r="D850">
        <v>1169.7359999999999</v>
      </c>
    </row>
    <row r="851" spans="1:4">
      <c r="A851" t="str">
        <f>"13070-95F0A"</f>
        <v>13070-95F0A</v>
      </c>
      <c r="B851" t="str">
        <f>"Натяжитель цепи"</f>
        <v>Натяжитель цепи</v>
      </c>
      <c r="C851">
        <v>4</v>
      </c>
      <c r="D851">
        <v>1167.6959999999999</v>
      </c>
    </row>
    <row r="852" spans="1:4">
      <c r="A852" t="str">
        <f>"13070-AD20A"</f>
        <v>13070-AD20A</v>
      </c>
      <c r="B852" t="str">
        <f>"Натяжитель цепи"</f>
        <v>Натяжитель цепи</v>
      </c>
      <c r="C852">
        <v>15</v>
      </c>
      <c r="D852">
        <v>1123.2239999999999</v>
      </c>
    </row>
    <row r="853" spans="1:4">
      <c r="A853" t="str">
        <f>"13070-AN201"</f>
        <v>13070-AN201</v>
      </c>
      <c r="B853" t="str">
        <f>"TENSION CHAIN"</f>
        <v>TENSION CHAIN</v>
      </c>
      <c r="C853">
        <v>6</v>
      </c>
      <c r="D853">
        <v>989.80799999999999</v>
      </c>
    </row>
    <row r="854" spans="1:4">
      <c r="A854" t="str">
        <f>"13070-AR000"</f>
        <v>13070-AR000</v>
      </c>
      <c r="B854" t="str">
        <f>"Натяжитель цепи"</f>
        <v>Натяжитель цепи</v>
      </c>
      <c r="C854">
        <v>5</v>
      </c>
      <c r="D854">
        <v>1065.288</v>
      </c>
    </row>
    <row r="855" spans="1:4">
      <c r="A855" t="str">
        <f>"13070-AR015"</f>
        <v>13070-AR015</v>
      </c>
      <c r="B855" t="str">
        <f>"Натяжитель цепи"</f>
        <v>Натяжитель цепи</v>
      </c>
      <c r="C855">
        <v>3</v>
      </c>
      <c r="D855">
        <v>1081.6079999999999</v>
      </c>
    </row>
    <row r="856" spans="1:4">
      <c r="A856" t="str">
        <f>"13070-AU000"</f>
        <v>13070-AU000</v>
      </c>
      <c r="B856" t="str">
        <f>"TENSION CHAIN"</f>
        <v>TENSION CHAIN</v>
      </c>
      <c r="C856">
        <v>9</v>
      </c>
      <c r="D856">
        <v>1678.9199999999998</v>
      </c>
    </row>
    <row r="857" spans="1:4">
      <c r="A857" t="str">
        <f>"13070-AX000"</f>
        <v>13070-AX000</v>
      </c>
      <c r="B857" t="str">
        <f>"Натяжитель цепи"</f>
        <v>Натяжитель цепи</v>
      </c>
      <c r="C857">
        <v>16</v>
      </c>
      <c r="D857">
        <v>932.68799999999999</v>
      </c>
    </row>
    <row r="858" spans="1:4">
      <c r="A858" t="str">
        <f>"13070-AX010"</f>
        <v>13070-AX010</v>
      </c>
      <c r="B858" t="str">
        <f>"Натяжитель цепи"</f>
        <v>Натяжитель цепи</v>
      </c>
      <c r="C858">
        <v>3</v>
      </c>
      <c r="D858">
        <v>2403.5279999999998</v>
      </c>
    </row>
    <row r="859" spans="1:4">
      <c r="A859" t="str">
        <f>"13070-BN300"</f>
        <v>13070-BN300</v>
      </c>
      <c r="B859" t="str">
        <f>"TENSIONER ASSY-"</f>
        <v>TENSIONER ASSY-</v>
      </c>
      <c r="C859">
        <v>6</v>
      </c>
      <c r="D859">
        <v>1079.568</v>
      </c>
    </row>
    <row r="860" spans="1:4">
      <c r="A860" t="str">
        <f>"13070-BN310"</f>
        <v>13070-BN310</v>
      </c>
      <c r="B860" t="str">
        <f>"TENSION CHAIN"</f>
        <v>TENSION CHAIN</v>
      </c>
      <c r="C860">
        <v>12</v>
      </c>
      <c r="D860">
        <v>3115.4879999999998</v>
      </c>
    </row>
    <row r="861" spans="1:4">
      <c r="A861" t="str">
        <f>"13070-BN31A"</f>
        <v>13070-BN31A</v>
      </c>
      <c r="B861" t="str">
        <f>"TENSIONER ASSY-"</f>
        <v>TENSIONER ASSY-</v>
      </c>
      <c r="C861">
        <v>0</v>
      </c>
      <c r="D861">
        <v>3115.4879999999998</v>
      </c>
    </row>
    <row r="862" spans="1:4">
      <c r="A862" t="str">
        <f>"13070-BX000"</f>
        <v>13070-BX000</v>
      </c>
      <c r="B862" t="str">
        <f>"TENSIONER ASSY-"</f>
        <v>TENSIONER ASSY-</v>
      </c>
      <c r="C862">
        <v>17</v>
      </c>
      <c r="D862">
        <v>1457.376</v>
      </c>
    </row>
    <row r="863" spans="1:4">
      <c r="A863" t="str">
        <f>"13070-EA200"</f>
        <v>13070-EA200</v>
      </c>
      <c r="B863" t="str">
        <f t="shared" ref="B863:B871" si="13">"Натяжитель цепи"</f>
        <v>Натяжитель цепи</v>
      </c>
      <c r="C863">
        <v>4</v>
      </c>
      <c r="D863">
        <v>818.04000000000008</v>
      </c>
    </row>
    <row r="864" spans="1:4">
      <c r="A864" t="str">
        <f>"13070-EB70B"</f>
        <v>13070-EB70B</v>
      </c>
      <c r="B864" t="str">
        <f t="shared" si="13"/>
        <v>Натяжитель цепи</v>
      </c>
      <c r="C864">
        <v>6</v>
      </c>
      <c r="D864">
        <v>1079.568</v>
      </c>
    </row>
    <row r="865" spans="1:4">
      <c r="A865" t="str">
        <f>"13070-ED010"</f>
        <v>13070-ED010</v>
      </c>
      <c r="B865" t="str">
        <f t="shared" si="13"/>
        <v>Натяжитель цепи</v>
      </c>
      <c r="C865">
        <v>0</v>
      </c>
      <c r="D865">
        <v>1073.856</v>
      </c>
    </row>
    <row r="866" spans="1:4">
      <c r="A866" t="str">
        <f>"13070-EN22D"</f>
        <v>13070-EN22D</v>
      </c>
      <c r="B866" t="str">
        <f t="shared" si="13"/>
        <v>Натяжитель цепи</v>
      </c>
      <c r="C866">
        <v>6</v>
      </c>
      <c r="D866">
        <v>1058.3520000000001</v>
      </c>
    </row>
    <row r="867" spans="1:4">
      <c r="A867" t="str">
        <f>"13070-ET00A"</f>
        <v>13070-ET00A</v>
      </c>
      <c r="B867" t="str">
        <f t="shared" si="13"/>
        <v>Натяжитель цепи</v>
      </c>
      <c r="C867">
        <v>9</v>
      </c>
      <c r="D867">
        <v>791.928</v>
      </c>
    </row>
    <row r="868" spans="1:4">
      <c r="A868" t="str">
        <f>"13070-EY00A"</f>
        <v>13070-EY00A</v>
      </c>
      <c r="B868" t="str">
        <f t="shared" si="13"/>
        <v>Натяжитель цепи</v>
      </c>
      <c r="C868">
        <v>40</v>
      </c>
      <c r="D868">
        <v>1068.144</v>
      </c>
    </row>
    <row r="869" spans="1:4">
      <c r="A869" t="str">
        <f>"13070-JK20C"</f>
        <v>13070-JK20C</v>
      </c>
      <c r="B869" t="str">
        <f t="shared" si="13"/>
        <v>Натяжитель цепи</v>
      </c>
      <c r="C869">
        <v>6</v>
      </c>
      <c r="D869">
        <v>1055.088</v>
      </c>
    </row>
    <row r="870" spans="1:4">
      <c r="A870" t="str">
        <f>"13070-JK21B"</f>
        <v>13070-JK21B</v>
      </c>
      <c r="B870" t="str">
        <f t="shared" si="13"/>
        <v>Натяжитель цепи</v>
      </c>
      <c r="C870">
        <v>43</v>
      </c>
      <c r="D870">
        <v>1068.9599999999998</v>
      </c>
    </row>
    <row r="871" spans="1:4">
      <c r="A871" t="str">
        <f>"13070-JK21C"</f>
        <v>13070-JK21C</v>
      </c>
      <c r="B871" t="str">
        <f t="shared" si="13"/>
        <v>Натяжитель цепи</v>
      </c>
      <c r="C871">
        <v>78</v>
      </c>
      <c r="D871">
        <v>1055.088</v>
      </c>
    </row>
    <row r="872" spans="1:4">
      <c r="A872" t="str">
        <f>"13070-V7201"</f>
        <v>13070-V7201</v>
      </c>
      <c r="B872" t="str">
        <f>"TENSION CHAIN"</f>
        <v>TENSION CHAIN</v>
      </c>
      <c r="C872">
        <v>0</v>
      </c>
      <c r="D872">
        <v>1229.3040000000001</v>
      </c>
    </row>
    <row r="873" spans="1:4">
      <c r="A873" t="str">
        <f>"13070-ZE00A"</f>
        <v>13070-ZE00A</v>
      </c>
      <c r="B873" t="str">
        <f>"Натяжитель цепи"</f>
        <v>Натяжитель цепи</v>
      </c>
      <c r="C873">
        <v>3</v>
      </c>
      <c r="D873">
        <v>791.52</v>
      </c>
    </row>
    <row r="874" spans="1:4">
      <c r="A874" t="str">
        <f>"13070-ZE00B"</f>
        <v>13070-ZE00B</v>
      </c>
      <c r="B874" t="str">
        <f>"Натяжитель цепи"</f>
        <v>Натяжитель цепи</v>
      </c>
      <c r="C874">
        <v>2</v>
      </c>
      <c r="D874">
        <v>802.12800000000004</v>
      </c>
    </row>
    <row r="875" spans="1:4">
      <c r="A875" t="str">
        <f>"13070-ZK01A"</f>
        <v>13070-ZK01A</v>
      </c>
      <c r="B875" t="str">
        <f>"Натяжитель цепи"</f>
        <v>Натяжитель цепи</v>
      </c>
      <c r="C875">
        <v>4</v>
      </c>
      <c r="D875">
        <v>789.88800000000003</v>
      </c>
    </row>
    <row r="876" spans="1:4">
      <c r="A876" t="str">
        <f>"13070-ZK01B"</f>
        <v>13070-ZK01B</v>
      </c>
      <c r="B876" t="str">
        <f>"Натяжитель цепи"</f>
        <v>Натяжитель цепи</v>
      </c>
      <c r="C876">
        <v>3</v>
      </c>
      <c r="D876">
        <v>809.47199999999987</v>
      </c>
    </row>
    <row r="877" spans="1:4">
      <c r="A877" t="str">
        <f>"13072-V7201"</f>
        <v>13072-V7201</v>
      </c>
      <c r="B877" t="str">
        <f>"SPRING-TENSIONE"</f>
        <v>SPRING-TENSIONE</v>
      </c>
      <c r="C877">
        <v>4</v>
      </c>
      <c r="D877">
        <v>59.975999999999992</v>
      </c>
    </row>
    <row r="878" spans="1:4">
      <c r="A878" t="str">
        <f>"13074-05E11"</f>
        <v>13074-05E11</v>
      </c>
      <c r="B878" t="str">
        <f>"Ролик натяжителя рем"</f>
        <v>Ролик натяжителя рем</v>
      </c>
      <c r="C878">
        <v>2</v>
      </c>
      <c r="D878">
        <v>1062.0239999999999</v>
      </c>
    </row>
    <row r="879" spans="1:4">
      <c r="A879" t="str">
        <f>"13074-58S00"</f>
        <v>13074-58S00</v>
      </c>
      <c r="B879" t="str">
        <f>"PULLY ASSY"</f>
        <v>PULLY ASSY</v>
      </c>
      <c r="C879">
        <v>7</v>
      </c>
      <c r="D879">
        <v>1188.5039999999999</v>
      </c>
    </row>
    <row r="880" spans="1:4">
      <c r="A880" t="str">
        <f>"13075-40F10"</f>
        <v>13075-40F10</v>
      </c>
      <c r="B880" t="str">
        <f>"BOLT-TENTIONER"</f>
        <v>BOLT-TENTIONER</v>
      </c>
      <c r="C880">
        <v>10</v>
      </c>
      <c r="D880">
        <v>51</v>
      </c>
    </row>
    <row r="881" spans="1:4">
      <c r="A881" t="str">
        <f>"13075-53J00"</f>
        <v>13075-53J00</v>
      </c>
      <c r="B881" t="str">
        <f>"BOLT-TENSIONER"</f>
        <v>BOLT-TENSIONER</v>
      </c>
      <c r="C881">
        <v>11</v>
      </c>
      <c r="D881">
        <v>75.888000000000005</v>
      </c>
    </row>
    <row r="882" spans="1:4">
      <c r="A882" t="str">
        <f>"13077-53Y01"</f>
        <v>13077-53Y01</v>
      </c>
      <c r="B882" t="str">
        <f>"GEAR-IDLE"</f>
        <v>GEAR-IDLE</v>
      </c>
      <c r="C882">
        <v>18</v>
      </c>
      <c r="D882">
        <v>2488.7999999999997</v>
      </c>
    </row>
    <row r="883" spans="1:4">
      <c r="A883" t="str">
        <f>"13077-54A00"</f>
        <v>13077-54A00</v>
      </c>
      <c r="B883" t="str">
        <f>"PULLY ASSY-IDLE"</f>
        <v>PULLY ASSY-IDLE</v>
      </c>
      <c r="C883">
        <v>4</v>
      </c>
      <c r="D883">
        <v>1199.9280000000001</v>
      </c>
    </row>
    <row r="884" spans="1:4">
      <c r="A884" t="str">
        <f>"13077-54A02"</f>
        <v>13077-54A02</v>
      </c>
      <c r="B884" t="str">
        <f>"PULLEY A-IDLER"</f>
        <v>PULLEY A-IDLER</v>
      </c>
      <c r="C884">
        <v>2</v>
      </c>
      <c r="D884">
        <v>1305.5999999999999</v>
      </c>
    </row>
    <row r="885" spans="1:4">
      <c r="A885" t="str">
        <f>"13077-V7200"</f>
        <v>13077-V7200</v>
      </c>
      <c r="B885" t="str">
        <f>"PULLY ASSY-IDLE"</f>
        <v>PULLY ASSY-IDLE</v>
      </c>
      <c r="C885">
        <v>5</v>
      </c>
      <c r="D885">
        <v>1223.5919999999999</v>
      </c>
    </row>
    <row r="886" spans="1:4">
      <c r="A886" t="str">
        <f>"13079-2F200"</f>
        <v>13079-2F200</v>
      </c>
      <c r="B886" t="str">
        <f>"GASKET-CHAIN TE"</f>
        <v>GASKET-CHAIN TE</v>
      </c>
      <c r="C886">
        <v>12</v>
      </c>
      <c r="D886">
        <v>62.423999999999999</v>
      </c>
    </row>
    <row r="887" spans="1:4">
      <c r="A887" t="str">
        <f>"13079-31U00"</f>
        <v>13079-31U00</v>
      </c>
      <c r="B887" t="str">
        <f>"GASKET"</f>
        <v>GASKET</v>
      </c>
      <c r="C887">
        <v>10</v>
      </c>
      <c r="D887">
        <v>139.94399999999999</v>
      </c>
    </row>
    <row r="888" spans="1:4">
      <c r="A888" t="str">
        <f>"13079-53Y00"</f>
        <v>13079-53Y00</v>
      </c>
      <c r="B888" t="str">
        <f>"GASKET"</f>
        <v>GASKET</v>
      </c>
      <c r="C888">
        <v>15</v>
      </c>
      <c r="D888">
        <v>36.311999999999998</v>
      </c>
    </row>
    <row r="889" spans="1:4">
      <c r="A889" t="str">
        <f>"13081-4M500"</f>
        <v>13081-4M500</v>
      </c>
      <c r="B889" t="str">
        <f>"JET-OIL"</f>
        <v>JET-OIL</v>
      </c>
      <c r="C889">
        <v>6</v>
      </c>
      <c r="D889">
        <v>122.39999999999999</v>
      </c>
    </row>
    <row r="890" spans="1:4">
      <c r="A890" t="str">
        <f>"13085-0M300"</f>
        <v>13085-0M300</v>
      </c>
      <c r="B890" t="str">
        <f>"GUIDE CHAIN"</f>
        <v>GUIDE CHAIN</v>
      </c>
      <c r="C890">
        <v>0</v>
      </c>
      <c r="D890">
        <v>452.06400000000002</v>
      </c>
    </row>
    <row r="891" spans="1:4">
      <c r="A891" t="str">
        <f>"13085-1E401"</f>
        <v>13085-1E401</v>
      </c>
      <c r="B891" t="str">
        <f>"GUIDE CHAIN"</f>
        <v>GUIDE CHAIN</v>
      </c>
      <c r="C891">
        <v>12</v>
      </c>
      <c r="D891">
        <v>417.79200000000003</v>
      </c>
    </row>
    <row r="892" spans="1:4">
      <c r="A892" t="str">
        <f>"13085-1HC2A"</f>
        <v>13085-1HC2A</v>
      </c>
      <c r="B892" t="str">
        <f>"Успокоитель цепи"</f>
        <v>Успокоитель цепи</v>
      </c>
      <c r="C892">
        <v>2</v>
      </c>
      <c r="D892">
        <v>445.94400000000002</v>
      </c>
    </row>
    <row r="893" spans="1:4">
      <c r="A893" t="str">
        <f>"13085-1N500"</f>
        <v>13085-1N500</v>
      </c>
      <c r="B893" t="str">
        <f t="shared" ref="B893:B899" si="14">"GUIDE CHAIN"</f>
        <v>GUIDE CHAIN</v>
      </c>
      <c r="C893">
        <v>9</v>
      </c>
      <c r="D893">
        <v>488.37599999999998</v>
      </c>
    </row>
    <row r="894" spans="1:4">
      <c r="A894" t="str">
        <f>"13085-2W200"</f>
        <v>13085-2W200</v>
      </c>
      <c r="B894" t="str">
        <f t="shared" si="14"/>
        <v>GUIDE CHAIN</v>
      </c>
      <c r="C894">
        <v>15</v>
      </c>
      <c r="D894">
        <v>466.34399999999999</v>
      </c>
    </row>
    <row r="895" spans="1:4">
      <c r="A895" t="str">
        <f>"13085-2Y501"</f>
        <v>13085-2Y501</v>
      </c>
      <c r="B895" t="str">
        <f t="shared" si="14"/>
        <v>GUIDE CHAIN</v>
      </c>
      <c r="C895">
        <v>5</v>
      </c>
      <c r="D895">
        <v>835.17600000000004</v>
      </c>
    </row>
    <row r="896" spans="1:4">
      <c r="A896" t="str">
        <f>"13085-31U02"</f>
        <v>13085-31U02</v>
      </c>
      <c r="B896" t="str">
        <f t="shared" si="14"/>
        <v>GUIDE CHAIN</v>
      </c>
      <c r="C896">
        <v>20</v>
      </c>
      <c r="D896">
        <v>763.77599999999995</v>
      </c>
    </row>
    <row r="897" spans="1:4">
      <c r="A897" t="str">
        <f>"13085-31U11"</f>
        <v>13085-31U11</v>
      </c>
      <c r="B897" t="str">
        <f t="shared" si="14"/>
        <v>GUIDE CHAIN</v>
      </c>
      <c r="C897">
        <v>17</v>
      </c>
      <c r="D897">
        <v>203.184</v>
      </c>
    </row>
    <row r="898" spans="1:4">
      <c r="A898" t="str">
        <f>"13085-31U16"</f>
        <v>13085-31U16</v>
      </c>
      <c r="B898" t="str">
        <f t="shared" si="14"/>
        <v>GUIDE CHAIN</v>
      </c>
      <c r="C898">
        <v>7</v>
      </c>
      <c r="D898">
        <v>201.14400000000001</v>
      </c>
    </row>
    <row r="899" spans="1:4">
      <c r="A899" t="str">
        <f>"13085-40F10"</f>
        <v>13085-40F10</v>
      </c>
      <c r="B899" t="str">
        <f t="shared" si="14"/>
        <v>GUIDE CHAIN</v>
      </c>
      <c r="C899">
        <v>15</v>
      </c>
      <c r="D899">
        <v>499.392</v>
      </c>
    </row>
    <row r="900" spans="1:4">
      <c r="A900" t="str">
        <f>"13085-41B00"</f>
        <v>13085-41B00</v>
      </c>
      <c r="B900" t="str">
        <f>"Успокоитель цепи"</f>
        <v>Успокоитель цепи</v>
      </c>
      <c r="C900">
        <v>3</v>
      </c>
      <c r="D900">
        <v>374.54399999999998</v>
      </c>
    </row>
    <row r="901" spans="1:4">
      <c r="A901" t="str">
        <f>"13085-4M500"</f>
        <v>13085-4M500</v>
      </c>
      <c r="B901" t="str">
        <f>"GUIDE CHAIN"</f>
        <v>GUIDE CHAIN</v>
      </c>
      <c r="C901">
        <v>16</v>
      </c>
      <c r="D901">
        <v>457.36799999999999</v>
      </c>
    </row>
    <row r="902" spans="1:4">
      <c r="A902" t="str">
        <f>"13085-4M511"</f>
        <v>13085-4M511</v>
      </c>
      <c r="B902" t="str">
        <f>"GUIDE CHAIN"</f>
        <v>GUIDE CHAIN</v>
      </c>
      <c r="C902">
        <v>24</v>
      </c>
      <c r="D902">
        <v>245.208</v>
      </c>
    </row>
    <row r="903" spans="1:4">
      <c r="A903" t="str">
        <f>"13085-5M305"</f>
        <v>13085-5M305</v>
      </c>
      <c r="B903" t="str">
        <f>"GUIDE-CHAIN,TEN"</f>
        <v>GUIDE-CHAIN,TEN</v>
      </c>
      <c r="C903">
        <v>9</v>
      </c>
      <c r="D903">
        <v>410.03999999999996</v>
      </c>
    </row>
    <row r="904" spans="1:4">
      <c r="A904" t="str">
        <f>"13085-5M315"</f>
        <v>13085-5M315</v>
      </c>
      <c r="B904" t="str">
        <f>"GUIDE-CHAIN,TEN"</f>
        <v>GUIDE-CHAIN,TEN</v>
      </c>
      <c r="C904">
        <v>8</v>
      </c>
      <c r="D904">
        <v>184.416</v>
      </c>
    </row>
    <row r="905" spans="1:4">
      <c r="A905" t="str">
        <f>"13085-5M320"</f>
        <v>13085-5M320</v>
      </c>
      <c r="B905" t="str">
        <f>"Успокоитель цепи"</f>
        <v>Успокоитель цепи</v>
      </c>
      <c r="C905">
        <v>15</v>
      </c>
      <c r="D905">
        <v>212.56799999999998</v>
      </c>
    </row>
    <row r="906" spans="1:4">
      <c r="A906" t="str">
        <f>"13085-6N200"</f>
        <v>13085-6N200</v>
      </c>
      <c r="B906" t="str">
        <f>"GUIDE CHAIN"</f>
        <v>GUIDE CHAIN</v>
      </c>
      <c r="C906">
        <v>32</v>
      </c>
      <c r="D906">
        <v>450.02399999999994</v>
      </c>
    </row>
    <row r="907" spans="1:4">
      <c r="A907" t="str">
        <f>"13085-6N210"</f>
        <v>13085-6N210</v>
      </c>
      <c r="B907" t="str">
        <f>"GUIDE CHAIN"</f>
        <v>GUIDE CHAIN</v>
      </c>
      <c r="C907">
        <v>48</v>
      </c>
      <c r="D907">
        <v>198.28800000000001</v>
      </c>
    </row>
    <row r="908" spans="1:4">
      <c r="A908" t="str">
        <f>"13085-70J00"</f>
        <v>13085-70J00</v>
      </c>
      <c r="B908" t="str">
        <f>"GUIDE CHAIN"</f>
        <v>GUIDE CHAIN</v>
      </c>
      <c r="C908">
        <v>9</v>
      </c>
      <c r="D908">
        <v>463.89599999999996</v>
      </c>
    </row>
    <row r="909" spans="1:4">
      <c r="A909" t="str">
        <f>"13085-70J11"</f>
        <v>13085-70J11</v>
      </c>
      <c r="B909" t="str">
        <f>"GUIDE-CHAIN"</f>
        <v>GUIDE-CHAIN</v>
      </c>
      <c r="C909">
        <v>8</v>
      </c>
      <c r="D909">
        <v>1072.2239999999999</v>
      </c>
    </row>
    <row r="910" spans="1:4">
      <c r="A910" t="str">
        <f>"13085-71J00"</f>
        <v>13085-71J00</v>
      </c>
      <c r="B910" t="str">
        <f>"GUIDE-CHAIN,TEN"</f>
        <v>GUIDE-CHAIN,TEN</v>
      </c>
      <c r="C910">
        <v>26</v>
      </c>
      <c r="D910">
        <v>934.72800000000007</v>
      </c>
    </row>
    <row r="911" spans="1:4">
      <c r="A911" t="str">
        <f>"13085-7S002"</f>
        <v>13085-7S002</v>
      </c>
      <c r="B911" t="str">
        <f>"Успокоитель цепи"</f>
        <v>Успокоитель цепи</v>
      </c>
      <c r="C911">
        <v>6</v>
      </c>
      <c r="D911">
        <v>320.27999999999997</v>
      </c>
    </row>
    <row r="912" spans="1:4">
      <c r="A912" t="str">
        <f>"13085-7S012"</f>
        <v>13085-7S012</v>
      </c>
      <c r="B912" t="str">
        <f>"Успокоитель цепи"</f>
        <v>Успокоитель цепи</v>
      </c>
      <c r="C912">
        <v>5</v>
      </c>
      <c r="D912">
        <v>323.95199999999994</v>
      </c>
    </row>
    <row r="913" spans="1:4">
      <c r="A913" t="str">
        <f>"13085-99B00"</f>
        <v>13085-99B00</v>
      </c>
      <c r="B913" t="str">
        <f>"GUIDE-CHAIN,TEN"</f>
        <v>GUIDE-CHAIN,TEN</v>
      </c>
      <c r="C913">
        <v>1</v>
      </c>
      <c r="D913">
        <v>971.44799999999987</v>
      </c>
    </row>
    <row r="914" spans="1:4">
      <c r="A914" t="str">
        <f>"13085-AD205"</f>
        <v>13085-AD205</v>
      </c>
      <c r="B914" t="str">
        <f>"GUIDE CHAIN"</f>
        <v>GUIDE CHAIN</v>
      </c>
      <c r="C914">
        <v>9</v>
      </c>
      <c r="D914">
        <v>395.76</v>
      </c>
    </row>
    <row r="915" spans="1:4">
      <c r="A915" t="str">
        <f>"13085-AD210"</f>
        <v>13085-AD210</v>
      </c>
      <c r="B915" t="str">
        <f>"GUIDE-CHAIN,TEN"</f>
        <v>GUIDE-CHAIN,TEN</v>
      </c>
      <c r="C915">
        <v>1</v>
      </c>
      <c r="D915">
        <v>404.73599999999993</v>
      </c>
    </row>
    <row r="916" spans="1:4">
      <c r="A916" t="str">
        <f>"13085-AD215"</f>
        <v>13085-AD215</v>
      </c>
      <c r="B916" t="str">
        <f>"GUIDE CHAIN"</f>
        <v>GUIDE CHAIN</v>
      </c>
      <c r="C916">
        <v>1</v>
      </c>
      <c r="D916">
        <v>204.816</v>
      </c>
    </row>
    <row r="917" spans="1:4">
      <c r="A917" t="str">
        <f>"13085-AD21A"</f>
        <v>13085-AD21A</v>
      </c>
      <c r="B917" t="str">
        <f t="shared" ref="B917:B923" si="15">"Успокоитель цепи"</f>
        <v>Успокоитель цепи</v>
      </c>
      <c r="C917">
        <v>12</v>
      </c>
      <c r="D917">
        <v>404.73599999999993</v>
      </c>
    </row>
    <row r="918" spans="1:4">
      <c r="A918" t="str">
        <f>"13085-AD21B"</f>
        <v>13085-AD21B</v>
      </c>
      <c r="B918" t="str">
        <f t="shared" si="15"/>
        <v>Успокоитель цепи</v>
      </c>
      <c r="C918">
        <v>11</v>
      </c>
      <c r="D918">
        <v>204.816</v>
      </c>
    </row>
    <row r="919" spans="1:4">
      <c r="A919" t="str">
        <f>"13085-AD22A"</f>
        <v>13085-AD22A</v>
      </c>
      <c r="B919" t="str">
        <f t="shared" si="15"/>
        <v>Успокоитель цепи</v>
      </c>
      <c r="C919">
        <v>9</v>
      </c>
      <c r="D919">
        <v>204.40799999999999</v>
      </c>
    </row>
    <row r="920" spans="1:4">
      <c r="A920" t="str">
        <f>"13085-AL511"</f>
        <v>13085-AL511</v>
      </c>
      <c r="B920" t="str">
        <f t="shared" si="15"/>
        <v>Успокоитель цепи</v>
      </c>
      <c r="C920">
        <v>11</v>
      </c>
      <c r="D920">
        <v>215.01599999999999</v>
      </c>
    </row>
    <row r="921" spans="1:4">
      <c r="A921" t="str">
        <f>"13085-AR000"</f>
        <v>13085-AR000</v>
      </c>
      <c r="B921" t="str">
        <f t="shared" si="15"/>
        <v>Успокоитель цепи</v>
      </c>
      <c r="C921">
        <v>0</v>
      </c>
      <c r="D921">
        <v>805.8</v>
      </c>
    </row>
    <row r="922" spans="1:4">
      <c r="A922" t="str">
        <f>"13085-AR010"</f>
        <v>13085-AR010</v>
      </c>
      <c r="B922" t="str">
        <f t="shared" si="15"/>
        <v>Успокоитель цепи</v>
      </c>
      <c r="C922">
        <v>0</v>
      </c>
      <c r="D922">
        <v>822.52800000000002</v>
      </c>
    </row>
    <row r="923" spans="1:4">
      <c r="A923" t="str">
        <f>"13085-AX000"</f>
        <v>13085-AX000</v>
      </c>
      <c r="B923" t="str">
        <f t="shared" si="15"/>
        <v>Успокоитель цепи</v>
      </c>
      <c r="C923">
        <v>22</v>
      </c>
      <c r="D923">
        <v>428.80799999999994</v>
      </c>
    </row>
    <row r="924" spans="1:4">
      <c r="A924" t="str">
        <f>"13085-BX000"</f>
        <v>13085-BX000</v>
      </c>
      <c r="B924" t="str">
        <f>"GUIDE-CHAIN,TEN"</f>
        <v>GUIDE-CHAIN,TEN</v>
      </c>
      <c r="C924">
        <v>26</v>
      </c>
      <c r="D924">
        <v>631.17600000000004</v>
      </c>
    </row>
    <row r="925" spans="1:4">
      <c r="A925" t="str">
        <f>"13085-EA200"</f>
        <v>13085-EA200</v>
      </c>
      <c r="B925" t="str">
        <f t="shared" ref="B925:B931" si="16">"Успокоитель цепи"</f>
        <v>Успокоитель цепи</v>
      </c>
      <c r="C925">
        <v>1</v>
      </c>
      <c r="D925">
        <v>374.13599999999997</v>
      </c>
    </row>
    <row r="926" spans="1:4">
      <c r="A926" t="str">
        <f>"13085-EA210"</f>
        <v>13085-EA210</v>
      </c>
      <c r="B926" t="str">
        <f t="shared" si="16"/>
        <v>Успокоитель цепи</v>
      </c>
      <c r="C926">
        <v>3</v>
      </c>
      <c r="D926">
        <v>213.792</v>
      </c>
    </row>
    <row r="927" spans="1:4">
      <c r="A927" t="str">
        <f>"13085-EB300"</f>
        <v>13085-EB300</v>
      </c>
      <c r="B927" t="str">
        <f t="shared" si="16"/>
        <v>Успокоитель цепи</v>
      </c>
      <c r="C927">
        <v>6</v>
      </c>
      <c r="D927">
        <v>924.52800000000002</v>
      </c>
    </row>
    <row r="928" spans="1:4">
      <c r="A928" t="str">
        <f>"13085-EB30B"</f>
        <v>13085-EB30B</v>
      </c>
      <c r="B928" t="str">
        <f t="shared" si="16"/>
        <v>Успокоитель цепи</v>
      </c>
      <c r="C928">
        <v>4</v>
      </c>
      <c r="D928">
        <v>924.52800000000002</v>
      </c>
    </row>
    <row r="929" spans="1:4">
      <c r="A929" t="str">
        <f>"13085-EB310"</f>
        <v>13085-EB310</v>
      </c>
      <c r="B929" t="str">
        <f t="shared" si="16"/>
        <v>Успокоитель цепи</v>
      </c>
      <c r="C929">
        <v>13</v>
      </c>
      <c r="D929">
        <v>437.37600000000003</v>
      </c>
    </row>
    <row r="930" spans="1:4">
      <c r="A930" t="str">
        <f>"13085-EN200"</f>
        <v>13085-EN200</v>
      </c>
      <c r="B930" t="str">
        <f t="shared" si="16"/>
        <v>Успокоитель цепи</v>
      </c>
      <c r="C930">
        <v>17</v>
      </c>
      <c r="D930">
        <v>455.32799999999997</v>
      </c>
    </row>
    <row r="931" spans="1:4">
      <c r="A931" t="str">
        <f>"13085-JK20A"</f>
        <v>13085-JK20A</v>
      </c>
      <c r="B931" t="str">
        <f t="shared" si="16"/>
        <v>Успокоитель цепи</v>
      </c>
      <c r="C931">
        <v>33</v>
      </c>
      <c r="D931">
        <v>452.47199999999998</v>
      </c>
    </row>
    <row r="932" spans="1:4">
      <c r="A932" t="str">
        <f>"13091-2J202"</f>
        <v>13091-2J202</v>
      </c>
      <c r="B932" t="str">
        <f>"GUIDE-CHAIN SLA"</f>
        <v>GUIDE-CHAIN SLA</v>
      </c>
      <c r="C932">
        <v>23</v>
      </c>
      <c r="D932">
        <v>1665.4560000000001</v>
      </c>
    </row>
    <row r="933" spans="1:4">
      <c r="A933" t="str">
        <f>"13091-2W200"</f>
        <v>13091-2W200</v>
      </c>
      <c r="B933" t="str">
        <f>"GUIDE-CHAIN SLA"</f>
        <v>GUIDE-CHAIN SLA</v>
      </c>
      <c r="C933">
        <v>8</v>
      </c>
      <c r="D933">
        <v>816.81599999999992</v>
      </c>
    </row>
    <row r="934" spans="1:4">
      <c r="A934" t="str">
        <f>"13091-2Y001"</f>
        <v>13091-2Y001</v>
      </c>
      <c r="B934" t="str">
        <f>"GUIDE-CHAIN SLA"</f>
        <v>GUIDE-CHAIN SLA</v>
      </c>
      <c r="C934">
        <v>36</v>
      </c>
      <c r="D934">
        <v>882.91199999999992</v>
      </c>
    </row>
    <row r="935" spans="1:4">
      <c r="A935" t="str">
        <f>"13091-31U26"</f>
        <v>13091-31U26</v>
      </c>
      <c r="B935" t="str">
        <f>"GUIDE SET-CHAIN"</f>
        <v>GUIDE SET-CHAIN</v>
      </c>
      <c r="C935">
        <v>7</v>
      </c>
      <c r="D935">
        <v>1131.7919999999999</v>
      </c>
    </row>
    <row r="936" spans="1:4">
      <c r="A936" t="str">
        <f>"13091-40F15"</f>
        <v>13091-40F15</v>
      </c>
      <c r="B936" t="str">
        <f>"GUIDE-CHAIN SLA"</f>
        <v>GUIDE-CHAIN SLA</v>
      </c>
      <c r="C936">
        <v>31</v>
      </c>
      <c r="D936">
        <v>1949.0160000000001</v>
      </c>
    </row>
    <row r="937" spans="1:4">
      <c r="A937" t="str">
        <f>"13091-41B00"</f>
        <v>13091-41B00</v>
      </c>
      <c r="B937" t="str">
        <f>"Натяжитель цепи"</f>
        <v>Натяжитель цепи</v>
      </c>
      <c r="C937">
        <v>22</v>
      </c>
      <c r="D937">
        <v>459.40799999999996</v>
      </c>
    </row>
    <row r="938" spans="1:4">
      <c r="A938" t="str">
        <f>"13091-4M500"</f>
        <v>13091-4M500</v>
      </c>
      <c r="B938" t="str">
        <f>"GUIDE-CHAIN SLA"</f>
        <v>GUIDE-CHAIN SLA</v>
      </c>
      <c r="C938">
        <v>20</v>
      </c>
      <c r="D938">
        <v>1251.336</v>
      </c>
    </row>
    <row r="939" spans="1:4">
      <c r="A939" t="str">
        <f>"13091-53Y01"</f>
        <v>13091-53Y01</v>
      </c>
      <c r="B939" t="str">
        <f>"GUIDE-CHAIN SLA"</f>
        <v>GUIDE-CHAIN SLA</v>
      </c>
      <c r="C939">
        <v>10</v>
      </c>
      <c r="D939">
        <v>436.15199999999999</v>
      </c>
    </row>
    <row r="940" spans="1:4">
      <c r="A940" t="str">
        <f>"13091-5H60A"</f>
        <v>13091-5H60A</v>
      </c>
      <c r="B940" t="str">
        <f>"Натяжитель цепи"</f>
        <v>Натяжитель цепи</v>
      </c>
      <c r="C940">
        <v>1</v>
      </c>
      <c r="D940">
        <v>864.95999999999992</v>
      </c>
    </row>
    <row r="941" spans="1:4">
      <c r="A941" t="str">
        <f>"13091-5M310"</f>
        <v>13091-5M310</v>
      </c>
      <c r="B941" t="str">
        <f>"GUIDE-CHAIN,SLA"</f>
        <v>GUIDE-CHAIN,SLA</v>
      </c>
      <c r="C941">
        <v>5</v>
      </c>
      <c r="D941">
        <v>1099.9679999999998</v>
      </c>
    </row>
    <row r="942" spans="1:4">
      <c r="A942" t="str">
        <f>"13091-6N20A"</f>
        <v>13091-6N20A</v>
      </c>
      <c r="B942" t="str">
        <f>"Натяжитель цепи"</f>
        <v>Натяжитель цепи</v>
      </c>
      <c r="C942">
        <v>27</v>
      </c>
      <c r="D942">
        <v>432.072</v>
      </c>
    </row>
    <row r="943" spans="1:4">
      <c r="A943" t="str">
        <f>"13091-71J00"</f>
        <v>13091-71J00</v>
      </c>
      <c r="B943" t="str">
        <f>"GUIDE-CHAIN,SLA"</f>
        <v>GUIDE-CHAIN,SLA</v>
      </c>
      <c r="C943">
        <v>16</v>
      </c>
      <c r="D943">
        <v>1200.7439999999999</v>
      </c>
    </row>
    <row r="944" spans="1:4">
      <c r="A944" t="str">
        <f>"13091-7J600"</f>
        <v>13091-7J600</v>
      </c>
      <c r="B944" t="str">
        <f>"GUIDE-CHAIN,SLA"</f>
        <v>GUIDE-CHAIN,SLA</v>
      </c>
      <c r="C944">
        <v>1</v>
      </c>
      <c r="D944">
        <v>1874.3519999999999</v>
      </c>
    </row>
    <row r="945" spans="1:4">
      <c r="A945" t="str">
        <f>"13091-7S000"</f>
        <v>13091-7S000</v>
      </c>
      <c r="B945" t="str">
        <f>"Натяжитель цепи"</f>
        <v>Натяжитель цепи</v>
      </c>
      <c r="C945">
        <v>11</v>
      </c>
      <c r="D945">
        <v>768.67199999999991</v>
      </c>
    </row>
    <row r="946" spans="1:4">
      <c r="A946" t="str">
        <f>"13091-7S012"</f>
        <v>13091-7S012</v>
      </c>
      <c r="B946" t="str">
        <f>"Натяжитель цепи"</f>
        <v>Натяжитель цепи</v>
      </c>
      <c r="C946">
        <v>5</v>
      </c>
      <c r="D946">
        <v>771.52800000000002</v>
      </c>
    </row>
    <row r="947" spans="1:4">
      <c r="A947" t="str">
        <f>"13091-95F0A"</f>
        <v>13091-95F0A</v>
      </c>
      <c r="B947" t="str">
        <f>"Натяжитель цепи"</f>
        <v>Натяжитель цепи</v>
      </c>
      <c r="C947">
        <v>6</v>
      </c>
      <c r="D947">
        <v>847.00800000000004</v>
      </c>
    </row>
    <row r="948" spans="1:4">
      <c r="A948" t="str">
        <f>"13091-99B00"</f>
        <v>13091-99B00</v>
      </c>
      <c r="B948" t="str">
        <f>"GUIDE-CHAIN,SLA"</f>
        <v>GUIDE-CHAIN,SLA</v>
      </c>
      <c r="C948">
        <v>1</v>
      </c>
      <c r="D948">
        <v>1009.3919999999999</v>
      </c>
    </row>
    <row r="949" spans="1:4">
      <c r="A949" t="str">
        <f>"13091-AD20A"</f>
        <v>13091-AD20A</v>
      </c>
      <c r="B949" t="str">
        <f>"Натяжитель цепи"</f>
        <v>Натяжитель цепи</v>
      </c>
      <c r="C949">
        <v>9</v>
      </c>
      <c r="D949">
        <v>863.32800000000009</v>
      </c>
    </row>
    <row r="950" spans="1:4">
      <c r="A950" t="str">
        <f>"13091-AD21A"</f>
        <v>13091-AD21A</v>
      </c>
      <c r="B950" t="str">
        <f>"Натяжитель цепи"</f>
        <v>Натяжитель цепи</v>
      </c>
      <c r="C950">
        <v>22</v>
      </c>
      <c r="D950">
        <v>972.67199999999991</v>
      </c>
    </row>
    <row r="951" spans="1:4">
      <c r="A951" t="str">
        <f>"13091-AD221"</f>
        <v>13091-AD221</v>
      </c>
      <c r="B951" t="str">
        <f>"GUIDE-CHAIN SLA"</f>
        <v>GUIDE-CHAIN SLA</v>
      </c>
      <c r="C951">
        <v>10</v>
      </c>
      <c r="D951">
        <v>428.80799999999994</v>
      </c>
    </row>
    <row r="952" spans="1:4">
      <c r="A952" t="str">
        <f>"13091-AR000"</f>
        <v>13091-AR000</v>
      </c>
      <c r="B952" t="str">
        <f>"Натяжитель цепи"</f>
        <v>Натяжитель цепи</v>
      </c>
      <c r="C952">
        <v>4</v>
      </c>
      <c r="D952">
        <v>1021.2239999999999</v>
      </c>
    </row>
    <row r="953" spans="1:4">
      <c r="A953" t="str">
        <f>"13091-AR010"</f>
        <v>13091-AR010</v>
      </c>
      <c r="B953" t="str">
        <f>"Натяжитель цепи"</f>
        <v>Натяжитель цепи</v>
      </c>
      <c r="C953">
        <v>0</v>
      </c>
      <c r="D953">
        <v>1019.5919999999999</v>
      </c>
    </row>
    <row r="954" spans="1:4">
      <c r="A954" t="str">
        <f>"13091-AX000"</f>
        <v>13091-AX000</v>
      </c>
      <c r="B954" t="str">
        <f>"Натяжитель цепи"</f>
        <v>Натяжитель цепи</v>
      </c>
      <c r="C954">
        <v>15</v>
      </c>
      <c r="D954">
        <v>1037.136</v>
      </c>
    </row>
    <row r="955" spans="1:4">
      <c r="A955" t="str">
        <f>"13091-BX000"</f>
        <v>13091-BX000</v>
      </c>
      <c r="B955" t="str">
        <f>"GUIDE-CHAIN,SLA"</f>
        <v>GUIDE-CHAIN,SLA</v>
      </c>
      <c r="C955">
        <v>26</v>
      </c>
      <c r="D955">
        <v>819.67199999999991</v>
      </c>
    </row>
    <row r="956" spans="1:4">
      <c r="A956" t="str">
        <f>"13091-EB300"</f>
        <v>13091-EB300</v>
      </c>
      <c r="B956" t="str">
        <f>"Натяжитель цепи"</f>
        <v>Натяжитель цепи</v>
      </c>
      <c r="C956">
        <v>13</v>
      </c>
      <c r="D956">
        <v>817.63199999999995</v>
      </c>
    </row>
    <row r="957" spans="1:4">
      <c r="A957" t="str">
        <f>"13091-EN200"</f>
        <v>13091-EN200</v>
      </c>
      <c r="B957" t="str">
        <f>"Успокоитель цепи"</f>
        <v>Успокоитель цепи</v>
      </c>
      <c r="C957">
        <v>0</v>
      </c>
      <c r="D957">
        <v>489.19200000000001</v>
      </c>
    </row>
    <row r="958" spans="1:4">
      <c r="A958" t="str">
        <f>"13091-JK20A"</f>
        <v>13091-JK20A</v>
      </c>
      <c r="B958" t="str">
        <f>"Натяжитель цепи"</f>
        <v>Натяжитель цепи</v>
      </c>
      <c r="C958">
        <v>33</v>
      </c>
      <c r="D958">
        <v>1069.3679999999999</v>
      </c>
    </row>
    <row r="959" spans="1:4">
      <c r="A959" t="str">
        <f>"13091-ZK00A"</f>
        <v>13091-ZK00A</v>
      </c>
      <c r="B959" t="str">
        <f>"Натяжитель цепи"</f>
        <v>Натяжитель цепи</v>
      </c>
      <c r="C959">
        <v>7</v>
      </c>
      <c r="D959">
        <v>403.512</v>
      </c>
    </row>
    <row r="960" spans="1:4">
      <c r="A960" t="str">
        <f>"13094-53J01"</f>
        <v>13094-53J01</v>
      </c>
      <c r="B960" t="str">
        <f>"BOLT-TENSIONER"</f>
        <v>BOLT-TENSIONER</v>
      </c>
      <c r="C960">
        <v>8</v>
      </c>
      <c r="D960">
        <v>103.63199999999999</v>
      </c>
    </row>
    <row r="961" spans="1:4">
      <c r="A961" t="str">
        <f>"13094-6N200"</f>
        <v>13094-6N200</v>
      </c>
      <c r="B961" t="str">
        <f>"BOLT"</f>
        <v>BOLT</v>
      </c>
      <c r="C961">
        <v>5</v>
      </c>
      <c r="D961">
        <v>73.44</v>
      </c>
    </row>
    <row r="962" spans="1:4">
      <c r="A962" t="str">
        <f>"13094-EN200"</f>
        <v>13094-EN200</v>
      </c>
      <c r="B962" t="str">
        <f>"Болт натяжителя"</f>
        <v>Болт натяжителя</v>
      </c>
      <c r="C962">
        <v>17</v>
      </c>
      <c r="D962">
        <v>77.927999999999997</v>
      </c>
    </row>
    <row r="963" spans="1:4">
      <c r="A963" t="str">
        <f>"13095-DC000"</f>
        <v>13095-DC000</v>
      </c>
      <c r="B963" t="str">
        <f>"SPROCKET ASSY"</f>
        <v>SPROCKET ASSY</v>
      </c>
      <c r="C963">
        <v>6</v>
      </c>
      <c r="D963">
        <v>1106.904</v>
      </c>
    </row>
    <row r="964" spans="1:4">
      <c r="A964" t="str">
        <f>"130B0-2W20A"</f>
        <v>130B0-2W20A</v>
      </c>
      <c r="B964" t="str">
        <f>"Шестерня ГРМ"</f>
        <v>Шестерня ГРМ</v>
      </c>
      <c r="C964">
        <v>14</v>
      </c>
      <c r="D964">
        <v>3899.6639999999998</v>
      </c>
    </row>
    <row r="965" spans="1:4">
      <c r="A965" t="str">
        <f>"130B0-2W20B"</f>
        <v>130B0-2W20B</v>
      </c>
      <c r="B965" t="str">
        <f>"Шестерня ГРМ"</f>
        <v>Шестерня ГРМ</v>
      </c>
      <c r="C965">
        <v>9</v>
      </c>
      <c r="D965">
        <v>2004.0959999999998</v>
      </c>
    </row>
    <row r="966" spans="1:4">
      <c r="A966" t="str">
        <f>"130B0-2W20C"</f>
        <v>130B0-2W20C</v>
      </c>
      <c r="B966" t="str">
        <f>"Шестерня ГРМ"</f>
        <v>Шестерня ГРМ</v>
      </c>
      <c r="C966">
        <v>3</v>
      </c>
      <c r="D966">
        <v>1995.12</v>
      </c>
    </row>
    <row r="967" spans="1:4">
      <c r="A967" t="str">
        <f>"13143-2W203"</f>
        <v>13143-2W203</v>
      </c>
      <c r="B967" t="str">
        <f>"SPROCKET-CHAIN"</f>
        <v>SPROCKET-CHAIN</v>
      </c>
      <c r="C967">
        <v>17</v>
      </c>
      <c r="D967">
        <v>1049.376</v>
      </c>
    </row>
    <row r="968" spans="1:4">
      <c r="A968" t="str">
        <f>"13201-0Y000"</f>
        <v>13201-0Y000</v>
      </c>
      <c r="B968" t="str">
        <f>"VALVE-INTAKE"</f>
        <v>VALVE-INTAKE</v>
      </c>
      <c r="C968">
        <v>18</v>
      </c>
      <c r="D968">
        <v>456.96</v>
      </c>
    </row>
    <row r="969" spans="1:4">
      <c r="A969" t="str">
        <f>"13201-2F200"</f>
        <v>13201-2F200</v>
      </c>
      <c r="B969" t="str">
        <f>"VALVE-INTAKE"</f>
        <v>VALVE-INTAKE</v>
      </c>
      <c r="C969">
        <v>12</v>
      </c>
      <c r="D969">
        <v>273.76799999999997</v>
      </c>
    </row>
    <row r="970" spans="1:4">
      <c r="A970" t="str">
        <f>"13201-2W20A"</f>
        <v>13201-2W20A</v>
      </c>
      <c r="B970" t="str">
        <f>"Клапан цилиндра двиг"</f>
        <v>Клапан цилиндра двиг</v>
      </c>
      <c r="C970">
        <v>23</v>
      </c>
      <c r="D970">
        <v>458.18399999999997</v>
      </c>
    </row>
    <row r="971" spans="1:4">
      <c r="A971" t="str">
        <f>"13201-2Y001"</f>
        <v>13201-2Y001</v>
      </c>
      <c r="B971" t="str">
        <f>"VALVE-INTAKE"</f>
        <v>VALVE-INTAKE</v>
      </c>
      <c r="C971">
        <v>6</v>
      </c>
      <c r="D971">
        <v>362.71199999999999</v>
      </c>
    </row>
    <row r="972" spans="1:4">
      <c r="A972" t="str">
        <f>"13201-40F00"</f>
        <v>13201-40F00</v>
      </c>
      <c r="B972" t="str">
        <f>"VALVE-INTAKE"</f>
        <v>VALVE-INTAKE</v>
      </c>
      <c r="C972">
        <v>4</v>
      </c>
      <c r="D972">
        <v>377.4</v>
      </c>
    </row>
    <row r="973" spans="1:4">
      <c r="A973" t="str">
        <f>"13201-4W001"</f>
        <v>13201-4W001</v>
      </c>
      <c r="B973" t="str">
        <f>"Клапан цилиндра двиг"</f>
        <v>Клапан цилиндра двиг</v>
      </c>
      <c r="C973">
        <v>5</v>
      </c>
      <c r="D973">
        <v>361.08</v>
      </c>
    </row>
    <row r="974" spans="1:4">
      <c r="A974" t="str">
        <f>"13201-8H300"</f>
        <v>13201-8H300</v>
      </c>
      <c r="B974" t="str">
        <f>"VALVE-INTAKE"</f>
        <v>VALVE-INTAKE</v>
      </c>
      <c r="C974">
        <v>40</v>
      </c>
      <c r="D974">
        <v>368.42399999999998</v>
      </c>
    </row>
    <row r="975" spans="1:4">
      <c r="A975" t="str">
        <f>"13201-95F0B"</f>
        <v>13201-95F0B</v>
      </c>
      <c r="B975" t="str">
        <f>"Клапан цилиндра двиг"</f>
        <v>Клапан цилиндра двиг</v>
      </c>
      <c r="C975">
        <v>8</v>
      </c>
      <c r="D975">
        <v>257.44799999999998</v>
      </c>
    </row>
    <row r="976" spans="1:4">
      <c r="A976" t="str">
        <f>"13201-AD21A"</f>
        <v>13201-AD21A</v>
      </c>
      <c r="B976" t="str">
        <f>"Клапан впускной"</f>
        <v>Клапан впускной</v>
      </c>
      <c r="C976">
        <v>8</v>
      </c>
      <c r="D976">
        <v>454.92</v>
      </c>
    </row>
    <row r="977" spans="1:4">
      <c r="A977" t="str">
        <f>"13201-AU300"</f>
        <v>13201-AU300</v>
      </c>
      <c r="B977" t="str">
        <f>"VALVE-INTAKE"</f>
        <v>VALVE-INTAKE</v>
      </c>
      <c r="C977">
        <v>48</v>
      </c>
      <c r="D977">
        <v>415.34399999999999</v>
      </c>
    </row>
    <row r="978" spans="1:4">
      <c r="A978" t="str">
        <f>"13201-EB70A"</f>
        <v>13201-EB70A</v>
      </c>
      <c r="B978" t="str">
        <f>"Клапан цилиндра двиг"</f>
        <v>Клапан цилиндра двиг</v>
      </c>
      <c r="C978">
        <v>17</v>
      </c>
      <c r="D978">
        <v>437.37600000000003</v>
      </c>
    </row>
    <row r="979" spans="1:4">
      <c r="A979" t="str">
        <f>"13202-2F210"</f>
        <v>13202-2F210</v>
      </c>
      <c r="B979" t="str">
        <f>"VALVE-EXHAUST"</f>
        <v>VALVE-EXHAUST</v>
      </c>
      <c r="C979">
        <v>7</v>
      </c>
      <c r="D979">
        <v>625.87199999999996</v>
      </c>
    </row>
    <row r="980" spans="1:4">
      <c r="A980" t="str">
        <f>"13202-2W200"</f>
        <v>13202-2W200</v>
      </c>
      <c r="B980" t="str">
        <f>"VALVE-EXHAUST"</f>
        <v>VALVE-EXHAUST</v>
      </c>
      <c r="C980">
        <v>90</v>
      </c>
      <c r="D980">
        <v>673.19999999999993</v>
      </c>
    </row>
    <row r="981" spans="1:4">
      <c r="A981" t="str">
        <f>"13202-2Y001"</f>
        <v>13202-2Y001</v>
      </c>
      <c r="B981" t="str">
        <f>"VALVE-EXHAUST"</f>
        <v>VALVE-EXHAUST</v>
      </c>
      <c r="C981">
        <v>16</v>
      </c>
      <c r="D981">
        <v>556.91999999999996</v>
      </c>
    </row>
    <row r="982" spans="1:4">
      <c r="A982" t="str">
        <f>"13202-3Z11A"</f>
        <v>13202-3Z11A</v>
      </c>
      <c r="B982" t="str">
        <f>"Клапан цилиндра двиг"</f>
        <v>Клапан цилиндра двиг</v>
      </c>
      <c r="C982">
        <v>127</v>
      </c>
      <c r="D982">
        <v>221.54400000000001</v>
      </c>
    </row>
    <row r="983" spans="1:4">
      <c r="A983" t="str">
        <f>"13202-4P400"</f>
        <v>13202-4P400</v>
      </c>
      <c r="B983" t="str">
        <f>"VALVE-EXHAUST"</f>
        <v>VALVE-EXHAUST</v>
      </c>
      <c r="C983">
        <v>12</v>
      </c>
      <c r="D983">
        <v>684.62399999999991</v>
      </c>
    </row>
    <row r="984" spans="1:4">
      <c r="A984" t="str">
        <f>"13202-57YX0"</f>
        <v>13202-57YX0</v>
      </c>
      <c r="B984" t="str">
        <f>"Клапан цилиндра двиг"</f>
        <v>Клапан цилиндра двиг</v>
      </c>
      <c r="C984">
        <v>29</v>
      </c>
      <c r="D984">
        <v>293.35199999999998</v>
      </c>
    </row>
    <row r="985" spans="1:4">
      <c r="A985" t="str">
        <f>"13202-8J10A"</f>
        <v>13202-8J10A</v>
      </c>
      <c r="B985" t="str">
        <f>"Клапан цилиндра двиг"</f>
        <v>Клапан цилиндра двиг</v>
      </c>
      <c r="C985">
        <v>18</v>
      </c>
      <c r="D985">
        <v>551.61599999999999</v>
      </c>
    </row>
    <row r="986" spans="1:4">
      <c r="A986" t="str">
        <f>"13202-95F0B"</f>
        <v>13202-95F0B</v>
      </c>
      <c r="B986" t="str">
        <f>"Клапан цилиндра двиг"</f>
        <v>Клапан цилиндра двиг</v>
      </c>
      <c r="C986">
        <v>40</v>
      </c>
      <c r="D986">
        <v>438.59999999999997</v>
      </c>
    </row>
    <row r="987" spans="1:4">
      <c r="A987" t="str">
        <f>"13202-AR000"</f>
        <v>13202-AR000</v>
      </c>
      <c r="B987" t="str">
        <f>"Клапан цилиндра двиг"</f>
        <v>Клапан цилиндра двиг</v>
      </c>
      <c r="C987">
        <v>10</v>
      </c>
      <c r="D987">
        <v>1241.5439999999999</v>
      </c>
    </row>
    <row r="988" spans="1:4">
      <c r="A988" t="str">
        <f>"13202-AU300"</f>
        <v>13202-AU300</v>
      </c>
      <c r="B988" t="str">
        <f>"VALVE-EXHAUST"</f>
        <v>VALVE-EXHAUST</v>
      </c>
      <c r="C988">
        <v>58</v>
      </c>
      <c r="D988">
        <v>696.04799999999989</v>
      </c>
    </row>
    <row r="989" spans="1:4">
      <c r="A989" t="str">
        <f>"13202-BM500"</f>
        <v>13202-BM500</v>
      </c>
      <c r="B989" t="str">
        <f>"VALVE-EXHAUST"</f>
        <v>VALVE-EXHAUST</v>
      </c>
      <c r="C989">
        <v>4</v>
      </c>
      <c r="D989">
        <v>988.58400000000006</v>
      </c>
    </row>
    <row r="990" spans="1:4">
      <c r="A990" t="str">
        <f>"13202-EB300"</f>
        <v>13202-EB300</v>
      </c>
      <c r="B990" t="str">
        <f>"Клапан цилиндра двиг"</f>
        <v>Клапан цилиндра двиг</v>
      </c>
      <c r="C990">
        <v>0</v>
      </c>
      <c r="D990">
        <v>683.80799999999999</v>
      </c>
    </row>
    <row r="991" spans="1:4">
      <c r="A991" t="str">
        <f>"13202-EB70B"</f>
        <v>13202-EB70B</v>
      </c>
      <c r="B991" t="str">
        <f>"Клапан выпускной"</f>
        <v>Клапан выпускной</v>
      </c>
      <c r="C991">
        <v>8</v>
      </c>
      <c r="D991">
        <v>640.15200000000004</v>
      </c>
    </row>
    <row r="992" spans="1:4">
      <c r="A992" t="str">
        <f>"13202-ED00C"</f>
        <v>13202-ED00C</v>
      </c>
      <c r="B992" t="str">
        <f>"Клапан цилиндра двиг"</f>
        <v>Клапан цилиндра двиг</v>
      </c>
      <c r="C992">
        <v>16</v>
      </c>
      <c r="D992">
        <v>409.22399999999999</v>
      </c>
    </row>
    <row r="993" spans="1:4">
      <c r="A993" t="str">
        <f>"13202-EN20B"</f>
        <v>13202-EN20B</v>
      </c>
      <c r="B993" t="str">
        <f>"Клапан цилиндра двиг"</f>
        <v>Клапан цилиндра двиг</v>
      </c>
      <c r="C993">
        <v>20</v>
      </c>
      <c r="D993">
        <v>188.90399999999997</v>
      </c>
    </row>
    <row r="994" spans="1:4">
      <c r="A994" t="str">
        <f>"13202-KB20B"</f>
        <v>13202-KB20B</v>
      </c>
      <c r="B994" t="str">
        <f>"Клапан выпускной"</f>
        <v>Клапан выпускной</v>
      </c>
      <c r="C994">
        <v>8</v>
      </c>
      <c r="D994">
        <v>575.68799999999999</v>
      </c>
    </row>
    <row r="995" spans="1:4">
      <c r="A995" t="str">
        <f>"13207-3Z000"</f>
        <v>13207-3Z000</v>
      </c>
      <c r="B995" t="str">
        <f>"Маслосъемный колпаче"</f>
        <v>Маслосъемный колпаче</v>
      </c>
      <c r="C995">
        <v>319</v>
      </c>
      <c r="D995">
        <v>55.488</v>
      </c>
    </row>
    <row r="996" spans="1:4">
      <c r="A996" t="str">
        <f>"13207-53F00"</f>
        <v>13207-53F00</v>
      </c>
      <c r="B996" t="str">
        <f>"SEAL-VALVE STEM"</f>
        <v>SEAL-VALVE STEM</v>
      </c>
      <c r="C996">
        <v>0</v>
      </c>
      <c r="D996">
        <v>100.776</v>
      </c>
    </row>
    <row r="997" spans="1:4">
      <c r="A997" t="str">
        <f>"13207-53Y00"</f>
        <v>13207-53Y00</v>
      </c>
      <c r="B997" t="str">
        <f>"SEAL-VALVE STEM"</f>
        <v>SEAL-VALVE STEM</v>
      </c>
      <c r="C997">
        <v>133</v>
      </c>
      <c r="D997">
        <v>138.31200000000001</v>
      </c>
    </row>
    <row r="998" spans="1:4">
      <c r="A998" t="str">
        <f>"13207-81W00"</f>
        <v>13207-81W00</v>
      </c>
      <c r="B998" t="str">
        <f>"SEAL-OIL VALVE"</f>
        <v>SEAL-OIL VALVE</v>
      </c>
      <c r="C998">
        <v>40</v>
      </c>
      <c r="D998">
        <v>88.128</v>
      </c>
    </row>
    <row r="999" spans="1:4">
      <c r="A999" t="str">
        <f>"13207-84A00"</f>
        <v>13207-84A00</v>
      </c>
      <c r="B999" t="str">
        <f>"SEAL-OIL,VALVE"</f>
        <v>SEAL-OIL,VALVE</v>
      </c>
      <c r="C999">
        <v>193</v>
      </c>
      <c r="D999">
        <v>133.82399999999998</v>
      </c>
    </row>
    <row r="1000" spans="1:4">
      <c r="A1000" t="str">
        <f>"13207-95F0B"</f>
        <v>13207-95F0B</v>
      </c>
      <c r="B1000" t="str">
        <f>"Маслосъемный колпаче"</f>
        <v>Маслосъемный колпаче</v>
      </c>
      <c r="C1000">
        <v>61</v>
      </c>
      <c r="D1000">
        <v>130.15199999999999</v>
      </c>
    </row>
    <row r="1001" spans="1:4">
      <c r="A1001" t="str">
        <f>"13207-ED000"</f>
        <v>13207-ED000</v>
      </c>
      <c r="B1001" t="str">
        <f>"Маслосъемный колпаче"</f>
        <v>Маслосъемный колпаче</v>
      </c>
      <c r="C1001">
        <v>63</v>
      </c>
      <c r="D1001">
        <v>119.136</v>
      </c>
    </row>
    <row r="1002" spans="1:4">
      <c r="A1002" t="str">
        <f>"13207-V170A"</f>
        <v>13207-V170A</v>
      </c>
      <c r="B1002" t="str">
        <f>"Колпачок маслосъемны"</f>
        <v>Колпачок маслосъемны</v>
      </c>
      <c r="C1002">
        <v>40</v>
      </c>
      <c r="D1002">
        <v>132.6</v>
      </c>
    </row>
    <row r="1003" spans="1:4">
      <c r="A1003" t="str">
        <f>"13210-53Y00"</f>
        <v>13210-53Y00</v>
      </c>
      <c r="B1003" t="str">
        <f>"COLLET-VALVE SP"</f>
        <v>COLLET-VALVE SP</v>
      </c>
      <c r="C1003">
        <v>0</v>
      </c>
      <c r="D1003">
        <v>27.336000000000002</v>
      </c>
    </row>
    <row r="1004" spans="1:4">
      <c r="A1004" t="str">
        <f>"13224-ZX00A"</f>
        <v>13224-ZX00A</v>
      </c>
      <c r="B1004" t="str">
        <f>"Болт клапанной крышк"</f>
        <v>Болт клапанной крышк</v>
      </c>
      <c r="C1004">
        <v>25</v>
      </c>
      <c r="D1004">
        <v>75.888000000000005</v>
      </c>
    </row>
    <row r="1005" spans="1:4">
      <c r="A1005" t="str">
        <f>"13229-3C901"</f>
        <v>13229-3C901</v>
      </c>
      <c r="B1005" t="str">
        <f t="shared" ref="B1005:B1017" si="17">"SHIM-VALVE"</f>
        <v>SHIM-VALVE</v>
      </c>
      <c r="C1005">
        <v>7</v>
      </c>
      <c r="D1005">
        <v>263.56799999999998</v>
      </c>
    </row>
    <row r="1006" spans="1:4">
      <c r="A1006" t="str">
        <f>"13229-3C902"</f>
        <v>13229-3C902</v>
      </c>
      <c r="B1006" t="str">
        <f t="shared" si="17"/>
        <v>SHIM-VALVE</v>
      </c>
      <c r="C1006">
        <v>6</v>
      </c>
      <c r="D1006">
        <v>262.34399999999999</v>
      </c>
    </row>
    <row r="1007" spans="1:4">
      <c r="A1007" t="str">
        <f>"13229-3C903"</f>
        <v>13229-3C903</v>
      </c>
      <c r="B1007" t="str">
        <f t="shared" si="17"/>
        <v>SHIM-VALVE</v>
      </c>
      <c r="C1007">
        <v>10</v>
      </c>
      <c r="D1007">
        <v>263.976</v>
      </c>
    </row>
    <row r="1008" spans="1:4">
      <c r="A1008" t="str">
        <f>"13229-3C904"</f>
        <v>13229-3C904</v>
      </c>
      <c r="B1008" t="str">
        <f t="shared" si="17"/>
        <v>SHIM-VALVE</v>
      </c>
      <c r="C1008">
        <v>20</v>
      </c>
      <c r="D1008">
        <v>271.72800000000001</v>
      </c>
    </row>
    <row r="1009" spans="1:4">
      <c r="A1009" t="str">
        <f>"13229-3C905"</f>
        <v>13229-3C905</v>
      </c>
      <c r="B1009" t="str">
        <f t="shared" si="17"/>
        <v>SHIM-VALVE</v>
      </c>
      <c r="C1009">
        <v>14</v>
      </c>
      <c r="D1009">
        <v>259.89600000000002</v>
      </c>
    </row>
    <row r="1010" spans="1:4">
      <c r="A1010" t="str">
        <f>"13229-3C906"</f>
        <v>13229-3C906</v>
      </c>
      <c r="B1010" t="str">
        <f t="shared" si="17"/>
        <v>SHIM-VALVE</v>
      </c>
      <c r="C1010">
        <v>4</v>
      </c>
      <c r="D1010">
        <v>259.08</v>
      </c>
    </row>
    <row r="1011" spans="1:4">
      <c r="A1011" t="str">
        <f>"13229-3C907"</f>
        <v>13229-3C907</v>
      </c>
      <c r="B1011" t="str">
        <f t="shared" si="17"/>
        <v>SHIM-VALVE</v>
      </c>
      <c r="C1011">
        <v>3</v>
      </c>
      <c r="D1011">
        <v>256.22399999999999</v>
      </c>
    </row>
    <row r="1012" spans="1:4">
      <c r="A1012" t="str">
        <f>"13229-3C908"</f>
        <v>13229-3C908</v>
      </c>
      <c r="B1012" t="str">
        <f t="shared" si="17"/>
        <v>SHIM-VALVE</v>
      </c>
      <c r="C1012">
        <v>16</v>
      </c>
      <c r="D1012">
        <v>262.75200000000001</v>
      </c>
    </row>
    <row r="1013" spans="1:4">
      <c r="A1013" t="str">
        <f>"13229-3C909"</f>
        <v>13229-3C909</v>
      </c>
      <c r="B1013" t="str">
        <f t="shared" si="17"/>
        <v>SHIM-VALVE</v>
      </c>
      <c r="C1013">
        <v>15</v>
      </c>
      <c r="D1013">
        <v>257.44799999999998</v>
      </c>
    </row>
    <row r="1014" spans="1:4">
      <c r="A1014" t="str">
        <f>"13229-3C910"</f>
        <v>13229-3C910</v>
      </c>
      <c r="B1014" t="str">
        <f t="shared" si="17"/>
        <v>SHIM-VALVE</v>
      </c>
      <c r="C1014">
        <v>2</v>
      </c>
      <c r="D1014">
        <v>255.816</v>
      </c>
    </row>
    <row r="1015" spans="1:4">
      <c r="A1015" t="str">
        <f>"13229-3C911"</f>
        <v>13229-3C911</v>
      </c>
      <c r="B1015" t="str">
        <f t="shared" si="17"/>
        <v>SHIM-VALVE</v>
      </c>
      <c r="C1015">
        <v>5</v>
      </c>
      <c r="D1015">
        <v>266.01600000000002</v>
      </c>
    </row>
    <row r="1016" spans="1:4">
      <c r="A1016" t="str">
        <f>"13229-3C913"</f>
        <v>13229-3C913</v>
      </c>
      <c r="B1016" t="str">
        <f t="shared" si="17"/>
        <v>SHIM-VALVE</v>
      </c>
      <c r="C1016">
        <v>5</v>
      </c>
      <c r="D1016">
        <v>262.34399999999999</v>
      </c>
    </row>
    <row r="1017" spans="1:4">
      <c r="A1017" t="str">
        <f>"13229-3C914"</f>
        <v>13229-3C914</v>
      </c>
      <c r="B1017" t="str">
        <f t="shared" si="17"/>
        <v>SHIM-VALVE</v>
      </c>
      <c r="C1017">
        <v>24</v>
      </c>
      <c r="D1017">
        <v>266.83199999999999</v>
      </c>
    </row>
    <row r="1018" spans="1:4">
      <c r="A1018" t="str">
        <f>"13229-53F16"</f>
        <v>13229-53F16</v>
      </c>
      <c r="B1018" t="str">
        <f>"Шайба гидрокомпенсат"</f>
        <v>Шайба гидрокомпенсат</v>
      </c>
      <c r="C1018">
        <v>2</v>
      </c>
      <c r="D1018">
        <v>179.51999999999998</v>
      </c>
    </row>
    <row r="1019" spans="1:4">
      <c r="A1019" t="str">
        <f>"13229-AD219"</f>
        <v>13229-AD219</v>
      </c>
      <c r="B1019" t="str">
        <f>"SHIM-VALVE"</f>
        <v>SHIM-VALVE</v>
      </c>
      <c r="C1019">
        <v>0</v>
      </c>
      <c r="D1019">
        <v>245.61599999999999</v>
      </c>
    </row>
    <row r="1020" spans="1:4">
      <c r="A1020" t="str">
        <f>"13229-MA70D"</f>
        <v>13229-MA70D</v>
      </c>
      <c r="B1020" t="str">
        <f>"Шайба гидрокомпенсат"</f>
        <v>Шайба гидрокомпенсат</v>
      </c>
      <c r="C1020">
        <v>8</v>
      </c>
      <c r="D1020">
        <v>232.96799999999996</v>
      </c>
    </row>
    <row r="1021" spans="1:4">
      <c r="A1021" t="str">
        <f>"13229-MA70E"</f>
        <v>13229-MA70E</v>
      </c>
      <c r="B1021" t="str">
        <f>"Шайба гидрокомпенсат"</f>
        <v>Шайба гидрокомпенсат</v>
      </c>
      <c r="C1021">
        <v>9</v>
      </c>
      <c r="D1021">
        <v>238.27199999999999</v>
      </c>
    </row>
    <row r="1022" spans="1:4">
      <c r="A1022" t="str">
        <f>"13229-MA71A"</f>
        <v>13229-MA71A</v>
      </c>
      <c r="B1022" t="str">
        <f>"Шайба гидрокомпенсат"</f>
        <v>Шайба гидрокомпенсат</v>
      </c>
      <c r="C1022">
        <v>29</v>
      </c>
      <c r="D1022">
        <v>243.16799999999998</v>
      </c>
    </row>
    <row r="1023" spans="1:4">
      <c r="A1023" t="str">
        <f>"13229-MA71B"</f>
        <v>13229-MA71B</v>
      </c>
      <c r="B1023" t="str">
        <f>"Шайба гидрокомпенсат"</f>
        <v>Шайба гидрокомпенсат</v>
      </c>
      <c r="C1023">
        <v>29</v>
      </c>
      <c r="D1023">
        <v>246.83999999999997</v>
      </c>
    </row>
    <row r="1024" spans="1:4">
      <c r="A1024" t="str">
        <f>"13229-MA71C"</f>
        <v>13229-MA71C</v>
      </c>
      <c r="B1024" t="str">
        <f>"Шайба гидрокомпенсат"</f>
        <v>Шайба гидрокомпенсат</v>
      </c>
      <c r="C1024">
        <v>7</v>
      </c>
      <c r="D1024">
        <v>246.43200000000002</v>
      </c>
    </row>
    <row r="1025" spans="1:4">
      <c r="A1025" t="str">
        <f>"13231-2W201"</f>
        <v>13231-2W201</v>
      </c>
      <c r="B1025" t="str">
        <f>"Гидрокомпенсатор кла"</f>
        <v>Гидрокомпенсатор кла</v>
      </c>
      <c r="C1025">
        <v>15</v>
      </c>
      <c r="D1025">
        <v>834.76799999999992</v>
      </c>
    </row>
    <row r="1026" spans="1:4">
      <c r="A1026" t="str">
        <f>"13231-3C900"</f>
        <v>13231-3C900</v>
      </c>
      <c r="B1026" t="str">
        <f>"LIFTER-VALVE"</f>
        <v>LIFTER-VALVE</v>
      </c>
      <c r="C1026">
        <v>9</v>
      </c>
      <c r="D1026">
        <v>1105.2719999999999</v>
      </c>
    </row>
    <row r="1027" spans="1:4">
      <c r="A1027" t="str">
        <f>"13231-AD201"</f>
        <v>13231-AD201</v>
      </c>
      <c r="B1027" t="str">
        <f>"LIFTER-VALVE"</f>
        <v>LIFTER-VALVE</v>
      </c>
      <c r="C1027">
        <v>32</v>
      </c>
      <c r="D1027">
        <v>811.10399999999993</v>
      </c>
    </row>
    <row r="1028" spans="1:4">
      <c r="A1028" t="str">
        <f>"13231-V5005"</f>
        <v>13231-V5005</v>
      </c>
      <c r="B1028" t="str">
        <f>"LIFTER-VALVE"</f>
        <v>LIFTER-VALVE</v>
      </c>
      <c r="C1028">
        <v>0</v>
      </c>
      <c r="D1028">
        <v>825.79199999999992</v>
      </c>
    </row>
    <row r="1029" spans="1:4">
      <c r="A1029" t="str">
        <f>"13245-40F1A"</f>
        <v>13245-40F1A</v>
      </c>
      <c r="B1029" t="str">
        <f>"Вал карамысел клапан"</f>
        <v>Вал карамысел клапан</v>
      </c>
      <c r="C1029">
        <v>3</v>
      </c>
      <c r="D1029">
        <v>1447.5839999999998</v>
      </c>
    </row>
    <row r="1030" spans="1:4">
      <c r="A1030" t="str">
        <f>"13252-40F1A"</f>
        <v>13252-40F1A</v>
      </c>
      <c r="B1030" t="str">
        <f>"Вал карамысел клапан"</f>
        <v>Вал карамысел клапан</v>
      </c>
      <c r="C1030">
        <v>9</v>
      </c>
      <c r="D1030">
        <v>1474.5119999999999</v>
      </c>
    </row>
    <row r="1031" spans="1:4">
      <c r="A1031" t="str">
        <f>"13257-40F06"</f>
        <v>13257-40F06</v>
      </c>
      <c r="B1031" t="str">
        <f>"ROCKER-VALVE LH"</f>
        <v>ROCKER-VALVE LH</v>
      </c>
      <c r="C1031">
        <v>21</v>
      </c>
      <c r="D1031">
        <v>1139.136</v>
      </c>
    </row>
    <row r="1032" spans="1:4">
      <c r="A1032" t="str">
        <f>"13257-40F07"</f>
        <v>13257-40F07</v>
      </c>
      <c r="B1032" t="str">
        <f>"ROCKER-VALVE LH"</f>
        <v>ROCKER-VALVE LH</v>
      </c>
      <c r="C1032">
        <v>8</v>
      </c>
      <c r="D1032">
        <v>1139.136</v>
      </c>
    </row>
    <row r="1033" spans="1:4">
      <c r="A1033" t="str">
        <f>"13257-40F16"</f>
        <v>13257-40F16</v>
      </c>
      <c r="B1033" t="str">
        <f>"ROCKER-VALVE RH"</f>
        <v>ROCKER-VALVE RH</v>
      </c>
      <c r="C1033">
        <v>3</v>
      </c>
      <c r="D1033">
        <v>1128.9359999999999</v>
      </c>
    </row>
    <row r="1034" spans="1:4">
      <c r="A1034" t="str">
        <f>"13257-40F17"</f>
        <v>13257-40F17</v>
      </c>
      <c r="B1034" t="str">
        <f>"ROCKER-VALVE LH"</f>
        <v>ROCKER-VALVE LH</v>
      </c>
      <c r="C1034">
        <v>8</v>
      </c>
      <c r="D1034">
        <v>1128.1199999999999</v>
      </c>
    </row>
    <row r="1035" spans="1:4">
      <c r="A1035" t="str">
        <f>"13264-0M302"</f>
        <v>13264-0M302</v>
      </c>
      <c r="B1035" t="str">
        <f>"Клапанная крышка дви"</f>
        <v>Клапанная крышка дви</v>
      </c>
      <c r="C1035">
        <v>4</v>
      </c>
      <c r="D1035">
        <v>4026.96</v>
      </c>
    </row>
    <row r="1036" spans="1:4">
      <c r="A1036" t="str">
        <f>"13264-41B10"</f>
        <v>13264-41B10</v>
      </c>
      <c r="B1036" t="str">
        <f>"Клапанная крышка дви"</f>
        <v>Клапанная крышка дви</v>
      </c>
      <c r="C1036">
        <v>3</v>
      </c>
      <c r="D1036">
        <v>3480.24</v>
      </c>
    </row>
    <row r="1037" spans="1:4">
      <c r="A1037" t="str">
        <f>"13264-4M500"</f>
        <v>13264-4M500</v>
      </c>
      <c r="B1037" t="str">
        <f>"COVER ASSY-VALV"</f>
        <v>COVER ASSY-VALV</v>
      </c>
      <c r="C1037">
        <v>0</v>
      </c>
      <c r="D1037">
        <v>4743</v>
      </c>
    </row>
    <row r="1038" spans="1:4">
      <c r="A1038" t="str">
        <f>"13264-4M502"</f>
        <v>13264-4M502</v>
      </c>
      <c r="B1038" t="str">
        <f>"COVER ASSY-VALV"</f>
        <v>COVER ASSY-VALV</v>
      </c>
      <c r="C1038">
        <v>7</v>
      </c>
      <c r="D1038">
        <v>4743</v>
      </c>
    </row>
    <row r="1039" spans="1:4">
      <c r="A1039" t="str">
        <f>"13264-8H303"</f>
        <v>13264-8H303</v>
      </c>
      <c r="B1039" t="str">
        <f>"COVER ASSY-VALV"</f>
        <v>COVER ASSY-VALV</v>
      </c>
      <c r="C1039">
        <v>0</v>
      </c>
      <c r="D1039">
        <v>4908.24</v>
      </c>
    </row>
    <row r="1040" spans="1:4">
      <c r="A1040" t="str">
        <f>"13264-8J102"</f>
        <v>13264-8J102</v>
      </c>
      <c r="B1040" t="str">
        <f>"Клапанная крышка дви"</f>
        <v>Клапанная крышка дви</v>
      </c>
      <c r="C1040">
        <v>7</v>
      </c>
      <c r="D1040">
        <v>4036.3439999999996</v>
      </c>
    </row>
    <row r="1041" spans="1:4">
      <c r="A1041" t="str">
        <f>"13264-8J113"</f>
        <v>13264-8J113</v>
      </c>
      <c r="B1041" t="str">
        <f>"COVER ASSY-VALV"</f>
        <v>COVER ASSY-VALV</v>
      </c>
      <c r="C1041">
        <v>5</v>
      </c>
      <c r="D1041">
        <v>3947.808</v>
      </c>
    </row>
    <row r="1042" spans="1:4">
      <c r="A1042" t="str">
        <f>"13264-9Y400"</f>
        <v>13264-9Y400</v>
      </c>
      <c r="B1042" t="str">
        <f>"Клапанная крышка дви"</f>
        <v>Клапанная крышка дви</v>
      </c>
      <c r="C1042">
        <v>2</v>
      </c>
      <c r="D1042">
        <v>4119.9840000000004</v>
      </c>
    </row>
    <row r="1043" spans="1:4">
      <c r="A1043" t="str">
        <f>"13264-AM600"</f>
        <v>13264-AM600</v>
      </c>
      <c r="B1043" t="str">
        <f>"COVER ASSY-VALV"</f>
        <v>COVER ASSY-VALV</v>
      </c>
      <c r="C1043">
        <v>20</v>
      </c>
      <c r="D1043">
        <v>5938.44</v>
      </c>
    </row>
    <row r="1044" spans="1:4">
      <c r="A1044" t="str">
        <f>"13264-AM610"</f>
        <v>13264-AM610</v>
      </c>
      <c r="B1044" t="str">
        <f>"COVER ASSY-VALV"</f>
        <v>COVER ASSY-VALV</v>
      </c>
      <c r="C1044">
        <v>9</v>
      </c>
      <c r="D1044">
        <v>6060.0240000000003</v>
      </c>
    </row>
    <row r="1045" spans="1:4">
      <c r="A1045" t="str">
        <f>"13264-AU30A"</f>
        <v>13264-AU30A</v>
      </c>
      <c r="B1045" t="str">
        <f>"Клапанная крышка дви"</f>
        <v>Клапанная крышка дви</v>
      </c>
      <c r="C1045">
        <v>3</v>
      </c>
      <c r="D1045">
        <v>4536.96</v>
      </c>
    </row>
    <row r="1046" spans="1:4">
      <c r="A1046" t="str">
        <f>"13264-JG30A"</f>
        <v>13264-JG30A</v>
      </c>
      <c r="B1046" t="str">
        <f>"Клапанная крышка дви"</f>
        <v>Клапанная крышка дви</v>
      </c>
      <c r="C1046">
        <v>0</v>
      </c>
      <c r="D1046">
        <v>3942.0959999999995</v>
      </c>
    </row>
    <row r="1047" spans="1:4">
      <c r="A1047" t="str">
        <f>"13264-JP01B"</f>
        <v>13264-JP01B</v>
      </c>
      <c r="B1047" t="str">
        <f>"Клапанная крышка дви"</f>
        <v>Клапанная крышка дви</v>
      </c>
      <c r="C1047">
        <v>0</v>
      </c>
      <c r="D1047">
        <v>5943.7439999999997</v>
      </c>
    </row>
    <row r="1048" spans="1:4">
      <c r="A1048" t="str">
        <f>"13268-AD21A"</f>
        <v>13268-AD21A</v>
      </c>
      <c r="B1048" t="str">
        <f>"Шайба уплотнительная"</f>
        <v>Шайба уплотнительная</v>
      </c>
      <c r="C1048">
        <v>22</v>
      </c>
      <c r="D1048">
        <v>97.103999999999999</v>
      </c>
    </row>
    <row r="1049" spans="1:4">
      <c r="A1049" t="str">
        <f>"13270-03J00"</f>
        <v>13270-03J00</v>
      </c>
      <c r="B1049" t="str">
        <f>"GASKET-ROCKER"</f>
        <v>GASKET-ROCKER</v>
      </c>
      <c r="C1049">
        <v>0</v>
      </c>
      <c r="D1049">
        <v>483.88799999999998</v>
      </c>
    </row>
    <row r="1050" spans="1:4">
      <c r="A1050" t="str">
        <f>"13270-06J01"</f>
        <v>13270-06J01</v>
      </c>
      <c r="B1050" t="str">
        <f>"GASKET-ROCKER"</f>
        <v>GASKET-ROCKER</v>
      </c>
      <c r="C1050">
        <v>9</v>
      </c>
      <c r="D1050">
        <v>569.16</v>
      </c>
    </row>
    <row r="1051" spans="1:4">
      <c r="A1051" t="str">
        <f>"13270-0M301"</f>
        <v>13270-0M301</v>
      </c>
      <c r="B1051" t="str">
        <f>"GASKET-ROCKER"</f>
        <v>GASKET-ROCKER</v>
      </c>
      <c r="C1051">
        <v>10</v>
      </c>
      <c r="D1051">
        <v>334.96799999999996</v>
      </c>
    </row>
    <row r="1052" spans="1:4">
      <c r="A1052" t="str">
        <f>"13270-1E411"</f>
        <v>13270-1E411</v>
      </c>
      <c r="B1052" t="str">
        <f>"GASKET-ROCKER"</f>
        <v>GASKET-ROCKER</v>
      </c>
      <c r="C1052">
        <v>16</v>
      </c>
      <c r="D1052">
        <v>396.57600000000002</v>
      </c>
    </row>
    <row r="1053" spans="1:4">
      <c r="A1053" t="str">
        <f>"13270-1F700"</f>
        <v>13270-1F700</v>
      </c>
      <c r="B1053" t="str">
        <f>"GASKET-ROCKER C"</f>
        <v>GASKET-ROCKER C</v>
      </c>
      <c r="C1053">
        <v>3</v>
      </c>
      <c r="D1053">
        <v>503.47199999999998</v>
      </c>
    </row>
    <row r="1054" spans="1:4">
      <c r="A1054" t="str">
        <f>"13270-2F000"</f>
        <v>13270-2F000</v>
      </c>
      <c r="B1054" t="str">
        <f>"GASKET-ROCKER C"</f>
        <v>GASKET-ROCKER C</v>
      </c>
      <c r="C1054">
        <v>5</v>
      </c>
      <c r="D1054">
        <v>641.37599999999998</v>
      </c>
    </row>
    <row r="1055" spans="1:4">
      <c r="A1055" t="str">
        <f>"13270-2F200"</f>
        <v>13270-2F200</v>
      </c>
      <c r="B1055" t="str">
        <f>"GASKET-ROCKER"</f>
        <v>GASKET-ROCKER</v>
      </c>
      <c r="C1055">
        <v>25</v>
      </c>
      <c r="D1055">
        <v>379.84800000000001</v>
      </c>
    </row>
    <row r="1056" spans="1:4">
      <c r="A1056" t="str">
        <f>"13270-2J201"</f>
        <v>13270-2J201</v>
      </c>
      <c r="B1056" t="str">
        <f>"GASKET-ROCKER"</f>
        <v>GASKET-ROCKER</v>
      </c>
      <c r="C1056">
        <v>14</v>
      </c>
      <c r="D1056">
        <v>368.83199999999999</v>
      </c>
    </row>
    <row r="1057" spans="1:4">
      <c r="A1057" t="str">
        <f>"13270-2W201"</f>
        <v>13270-2W201</v>
      </c>
      <c r="B1057" t="str">
        <f>"GASKET-ROCKER"</f>
        <v>GASKET-ROCKER</v>
      </c>
      <c r="C1057">
        <v>35</v>
      </c>
      <c r="D1057">
        <v>524.68799999999999</v>
      </c>
    </row>
    <row r="1058" spans="1:4">
      <c r="A1058" t="str">
        <f>"13270-2Y510"</f>
        <v>13270-2Y510</v>
      </c>
      <c r="B1058" t="str">
        <f>"Прокладка клапанной "</f>
        <v xml:space="preserve">Прокладка клапанной </v>
      </c>
      <c r="C1058">
        <v>3</v>
      </c>
      <c r="D1058">
        <v>329.66400000000004</v>
      </c>
    </row>
    <row r="1059" spans="1:4">
      <c r="A1059" t="str">
        <f>"13270-31U02"</f>
        <v>13270-31U02</v>
      </c>
      <c r="B1059" t="str">
        <f>"GASKET-ROCKER"</f>
        <v>GASKET-ROCKER</v>
      </c>
      <c r="C1059">
        <v>56</v>
      </c>
      <c r="D1059">
        <v>286.416</v>
      </c>
    </row>
    <row r="1060" spans="1:4">
      <c r="A1060" t="str">
        <f>"13270-41B02"</f>
        <v>13270-41B02</v>
      </c>
      <c r="B1060" t="str">
        <f>"GASKET ROCKER C"</f>
        <v>GASKET ROCKER C</v>
      </c>
      <c r="C1060">
        <v>32</v>
      </c>
      <c r="D1060">
        <v>329.66400000000004</v>
      </c>
    </row>
    <row r="1061" spans="1:4">
      <c r="A1061" t="str">
        <f>"13270-43G03"</f>
        <v>13270-43G03</v>
      </c>
      <c r="B1061" t="str">
        <f>"GASKET-ROCKER"</f>
        <v>GASKET-ROCKER</v>
      </c>
      <c r="C1061">
        <v>3</v>
      </c>
      <c r="D1061">
        <v>461.85599999999999</v>
      </c>
    </row>
    <row r="1062" spans="1:4">
      <c r="A1062" t="str">
        <f>"13270-4M500"</f>
        <v>13270-4M500</v>
      </c>
      <c r="B1062" t="str">
        <f>"GASKET-ROCKER"</f>
        <v>GASKET-ROCKER</v>
      </c>
      <c r="C1062">
        <v>55</v>
      </c>
      <c r="D1062">
        <v>289.68</v>
      </c>
    </row>
    <row r="1063" spans="1:4">
      <c r="A1063" t="str">
        <f>"13270-4M700"</f>
        <v>13270-4M700</v>
      </c>
      <c r="B1063" t="str">
        <f>"GASKET-ROCKER"</f>
        <v>GASKET-ROCKER</v>
      </c>
      <c r="C1063">
        <v>14</v>
      </c>
      <c r="D1063">
        <v>357.81599999999997</v>
      </c>
    </row>
    <row r="1064" spans="1:4">
      <c r="A1064" t="str">
        <f>"13270-4M760"</f>
        <v>13270-4M760</v>
      </c>
      <c r="B1064" t="str">
        <f>"GASKET-ROCKER"</f>
        <v>GASKET-ROCKER</v>
      </c>
      <c r="C1064">
        <v>25</v>
      </c>
      <c r="D1064">
        <v>361.89599999999996</v>
      </c>
    </row>
    <row r="1065" spans="1:4">
      <c r="A1065" t="str">
        <f>"13270-4P400"</f>
        <v>13270-4P400</v>
      </c>
      <c r="B1065" t="str">
        <f>"GASKET-ROCKER"</f>
        <v>GASKET-ROCKER</v>
      </c>
      <c r="C1065">
        <v>7</v>
      </c>
      <c r="D1065">
        <v>593.23199999999997</v>
      </c>
    </row>
    <row r="1066" spans="1:4">
      <c r="A1066" t="str">
        <f>"13270-4P410"</f>
        <v>13270-4P410</v>
      </c>
      <c r="B1066" t="str">
        <f>"GASKET-VACUUM"</f>
        <v>GASKET-VACUUM</v>
      </c>
      <c r="C1066">
        <v>14</v>
      </c>
      <c r="D1066">
        <v>126.48</v>
      </c>
    </row>
    <row r="1067" spans="1:4">
      <c r="A1067" t="str">
        <f>"13270-4W000"</f>
        <v>13270-4W000</v>
      </c>
      <c r="B1067" t="str">
        <f>"Прокладка клапанной "</f>
        <v xml:space="preserve">Прокладка клапанной </v>
      </c>
      <c r="C1067">
        <v>1</v>
      </c>
      <c r="D1067">
        <v>324.36</v>
      </c>
    </row>
    <row r="1068" spans="1:4">
      <c r="A1068" t="str">
        <f>"13270-53J05"</f>
        <v>13270-53J05</v>
      </c>
      <c r="B1068" t="str">
        <f>"GASKET-ROCKER"</f>
        <v>GASKET-ROCKER</v>
      </c>
      <c r="C1068">
        <v>12</v>
      </c>
      <c r="D1068">
        <v>277.84799999999996</v>
      </c>
    </row>
    <row r="1069" spans="1:4">
      <c r="A1069" t="str">
        <f>"13270-53J13"</f>
        <v>13270-53J13</v>
      </c>
      <c r="B1069" t="str">
        <f>"GSKT-ROCKR COVR"</f>
        <v>GSKT-ROCKR COVR</v>
      </c>
      <c r="C1069">
        <v>52</v>
      </c>
      <c r="D1069">
        <v>50.183999999999997</v>
      </c>
    </row>
    <row r="1070" spans="1:4">
      <c r="A1070" t="str">
        <f>"13270-57J01"</f>
        <v>13270-57J01</v>
      </c>
      <c r="B1070" t="str">
        <f>"GASKET-ROCKER"</f>
        <v>GASKET-ROCKER</v>
      </c>
      <c r="C1070">
        <v>0</v>
      </c>
      <c r="D1070">
        <v>503.47199999999998</v>
      </c>
    </row>
    <row r="1071" spans="1:4">
      <c r="A1071" t="str">
        <f>"13270-57Y10"</f>
        <v>13270-57Y10</v>
      </c>
      <c r="B1071" t="str">
        <f>"GASKET-ROCKER C"</f>
        <v>GASKET-ROCKER C</v>
      </c>
      <c r="C1071">
        <v>6</v>
      </c>
      <c r="D1071">
        <v>242.76</v>
      </c>
    </row>
    <row r="1072" spans="1:4">
      <c r="A1072" t="str">
        <f>"13270-6N200"</f>
        <v>13270-6N200</v>
      </c>
      <c r="B1072" t="str">
        <f>"Прокладка клапанной "</f>
        <v xml:space="preserve">Прокладка клапанной </v>
      </c>
      <c r="C1072">
        <v>3</v>
      </c>
      <c r="D1072">
        <v>384.33599999999996</v>
      </c>
    </row>
    <row r="1073" spans="1:4">
      <c r="A1073" t="str">
        <f>"13270-73C10"</f>
        <v>13270-73C10</v>
      </c>
      <c r="B1073" t="str">
        <f>"GASKET-ROCKER"</f>
        <v>GASKET-ROCKER</v>
      </c>
      <c r="C1073">
        <v>0</v>
      </c>
      <c r="D1073">
        <v>321.09599999999995</v>
      </c>
    </row>
    <row r="1074" spans="1:4">
      <c r="A1074" t="str">
        <f>"13270-7S000"</f>
        <v>13270-7S000</v>
      </c>
      <c r="B1074" t="str">
        <f>"Прокладка клапанной "</f>
        <v xml:space="preserve">Прокладка клапанной </v>
      </c>
      <c r="C1074">
        <v>7</v>
      </c>
      <c r="D1074">
        <v>283.15199999999999</v>
      </c>
    </row>
    <row r="1075" spans="1:4">
      <c r="A1075" t="str">
        <f>"13270-8H301"</f>
        <v>13270-8H301</v>
      </c>
      <c r="B1075" t="str">
        <f>"GASKET-ROCKER"</f>
        <v>GASKET-ROCKER</v>
      </c>
      <c r="C1075">
        <v>0</v>
      </c>
      <c r="D1075">
        <v>323.13599999999997</v>
      </c>
    </row>
    <row r="1076" spans="1:4">
      <c r="A1076" t="str">
        <f>"13270-8J102"</f>
        <v>13270-8J102</v>
      </c>
      <c r="B1076" t="str">
        <f>"GASKET-ROCKER"</f>
        <v>GASKET-ROCKER</v>
      </c>
      <c r="C1076">
        <v>21</v>
      </c>
      <c r="D1076">
        <v>283.15199999999999</v>
      </c>
    </row>
    <row r="1077" spans="1:4">
      <c r="A1077" t="str">
        <f>"13270-8J112"</f>
        <v>13270-8J112</v>
      </c>
      <c r="B1077" t="str">
        <f>"GASKET-ROCKER"</f>
        <v>GASKET-ROCKER</v>
      </c>
      <c r="C1077">
        <v>14</v>
      </c>
      <c r="D1077">
        <v>285.59999999999997</v>
      </c>
    </row>
    <row r="1078" spans="1:4">
      <c r="A1078" t="str">
        <f>"13270-8P311"</f>
        <v>13270-8P311</v>
      </c>
      <c r="B1078" t="str">
        <f>"GASKET-ROCKER"</f>
        <v>GASKET-ROCKER</v>
      </c>
      <c r="C1078">
        <v>31</v>
      </c>
      <c r="D1078">
        <v>288.86399999999998</v>
      </c>
    </row>
    <row r="1079" spans="1:4">
      <c r="A1079" t="str">
        <f>"13270-95F0B"</f>
        <v>13270-95F0B</v>
      </c>
      <c r="B1079" t="str">
        <f>"Прокладка клапанной "</f>
        <v xml:space="preserve">Прокладка клапанной </v>
      </c>
      <c r="C1079">
        <v>9</v>
      </c>
      <c r="D1079">
        <v>301.91999999999996</v>
      </c>
    </row>
    <row r="1080" spans="1:4">
      <c r="A1080" t="str">
        <f>"13270-99B00"</f>
        <v>13270-99B00</v>
      </c>
      <c r="B1080" t="str">
        <f>"GASKET-ROCKER C"</f>
        <v>GASKET-ROCKER C</v>
      </c>
      <c r="C1080">
        <v>1</v>
      </c>
      <c r="D1080">
        <v>486.74399999999997</v>
      </c>
    </row>
    <row r="1081" spans="1:4">
      <c r="A1081" t="str">
        <f>"13270-9C606"</f>
        <v>13270-9C606</v>
      </c>
      <c r="B1081" t="str">
        <f>"GASKET-ROCKER C"</f>
        <v>GASKET-ROCKER C</v>
      </c>
      <c r="C1081">
        <v>3</v>
      </c>
      <c r="D1081">
        <v>668.30399999999997</v>
      </c>
    </row>
    <row r="1082" spans="1:4">
      <c r="A1082" t="str">
        <f>"13270-AD20A"</f>
        <v>13270-AD20A</v>
      </c>
      <c r="B1082" t="str">
        <f>"Прокладка клапанной "</f>
        <v xml:space="preserve">Прокладка клапанной </v>
      </c>
      <c r="C1082">
        <v>13</v>
      </c>
      <c r="D1082">
        <v>431.25599999999997</v>
      </c>
    </row>
    <row r="1083" spans="1:4">
      <c r="A1083" t="str">
        <f>"13270-AR000"</f>
        <v>13270-AR000</v>
      </c>
      <c r="B1083" t="str">
        <f>"Прокладка клапанной "</f>
        <v xml:space="preserve">Прокладка клапанной </v>
      </c>
      <c r="C1083">
        <v>11</v>
      </c>
      <c r="D1083">
        <v>388.416</v>
      </c>
    </row>
    <row r="1084" spans="1:4">
      <c r="A1084" t="str">
        <f>"13270-AR010"</f>
        <v>13270-AR010</v>
      </c>
      <c r="B1084" t="str">
        <f>"Прокладка клапанной "</f>
        <v xml:space="preserve">Прокладка клапанной </v>
      </c>
      <c r="C1084">
        <v>9</v>
      </c>
      <c r="D1084">
        <v>396.98399999999998</v>
      </c>
    </row>
    <row r="1085" spans="1:4">
      <c r="A1085" t="str">
        <f>"13270-AU300"</f>
        <v>13270-AU300</v>
      </c>
      <c r="B1085" t="str">
        <f>"Прокладка клапанной "</f>
        <v xml:space="preserve">Прокладка клапанной </v>
      </c>
      <c r="C1085">
        <v>104</v>
      </c>
      <c r="D1085">
        <v>332.11199999999997</v>
      </c>
    </row>
    <row r="1086" spans="1:4">
      <c r="A1086" t="str">
        <f>"13270-AX01A"</f>
        <v>13270-AX01A</v>
      </c>
      <c r="B1086" t="str">
        <f>"Прокладка клапанной "</f>
        <v xml:space="preserve">Прокладка клапанной </v>
      </c>
      <c r="C1086">
        <v>27</v>
      </c>
      <c r="D1086">
        <v>414.52799999999996</v>
      </c>
    </row>
    <row r="1087" spans="1:4">
      <c r="A1087" t="str">
        <f>"13270-BX000"</f>
        <v>13270-BX000</v>
      </c>
      <c r="B1087" t="str">
        <f>"GASKET-ROCKER C"</f>
        <v>GASKET-ROCKER C</v>
      </c>
      <c r="C1087">
        <v>6</v>
      </c>
      <c r="D1087">
        <v>448.392</v>
      </c>
    </row>
    <row r="1088" spans="1:4">
      <c r="A1088" t="str">
        <f>"13270-EA20A"</f>
        <v>13270-EA20A</v>
      </c>
      <c r="B1088" t="str">
        <f>"Прокладка клапанной "</f>
        <v xml:space="preserve">Прокладка клапанной </v>
      </c>
      <c r="C1088">
        <v>9</v>
      </c>
      <c r="D1088">
        <v>211.34399999999999</v>
      </c>
    </row>
    <row r="1089" spans="1:4">
      <c r="A1089" t="str">
        <f>"13270-EB30A"</f>
        <v>13270-EB30A</v>
      </c>
      <c r="B1089" t="str">
        <f>"Прокладка клапанной "</f>
        <v xml:space="preserve">Прокладка клапанной </v>
      </c>
      <c r="C1089">
        <v>5</v>
      </c>
      <c r="D1089">
        <v>747.45600000000002</v>
      </c>
    </row>
    <row r="1090" spans="1:4">
      <c r="A1090" t="str">
        <f>"13270-EC01A"</f>
        <v>13270-EC01A</v>
      </c>
      <c r="B1090" t="str">
        <f>"Прокладка клапанной "</f>
        <v xml:space="preserve">Прокладка клапанной </v>
      </c>
      <c r="C1090">
        <v>9</v>
      </c>
      <c r="D1090">
        <v>474.50400000000002</v>
      </c>
    </row>
    <row r="1091" spans="1:4">
      <c r="A1091" t="str">
        <f>"13270-ED000"</f>
        <v>13270-ED000</v>
      </c>
      <c r="B1091" t="str">
        <f>"Прокладка клапанной "</f>
        <v xml:space="preserve">Прокладка клапанной </v>
      </c>
      <c r="C1091">
        <v>1</v>
      </c>
      <c r="D1091">
        <v>317.83199999999999</v>
      </c>
    </row>
    <row r="1092" spans="1:4">
      <c r="A1092" t="str">
        <f>"13270-EN200"</f>
        <v>13270-EN200</v>
      </c>
      <c r="B1092" t="str">
        <f>"Прокладка клапанной "</f>
        <v xml:space="preserve">Прокладка клапанной </v>
      </c>
      <c r="C1092">
        <v>23</v>
      </c>
      <c r="D1092">
        <v>357.81599999999997</v>
      </c>
    </row>
    <row r="1093" spans="1:4">
      <c r="A1093" t="str">
        <f>"13270-F4000"</f>
        <v>13270-F4000</v>
      </c>
      <c r="B1093" t="str">
        <f>"GASKET-ROCKER"</f>
        <v>GASKET-ROCKER</v>
      </c>
      <c r="C1093">
        <v>13</v>
      </c>
      <c r="D1093">
        <v>355.36799999999999</v>
      </c>
    </row>
    <row r="1094" spans="1:4">
      <c r="A1094" t="str">
        <f>"13270-JG30A"</f>
        <v>13270-JG30A</v>
      </c>
      <c r="B1094" t="str">
        <f>"Прокладка клапанной "</f>
        <v xml:space="preserve">Прокладка клапанной </v>
      </c>
      <c r="C1094">
        <v>0</v>
      </c>
      <c r="D1094">
        <v>361.488</v>
      </c>
    </row>
    <row r="1095" spans="1:4">
      <c r="A1095" t="str">
        <f>"13270-V5000"</f>
        <v>13270-V5000</v>
      </c>
      <c r="B1095" t="str">
        <f>"GASKET-ROCKER"</f>
        <v>GASKET-ROCKER</v>
      </c>
      <c r="C1095">
        <v>60</v>
      </c>
      <c r="D1095">
        <v>305.59199999999998</v>
      </c>
    </row>
    <row r="1096" spans="1:4">
      <c r="A1096" t="str">
        <f>"13270-V7210"</f>
        <v>13270-V7210</v>
      </c>
      <c r="B1096" t="str">
        <f>"GASKET-ROCKER"</f>
        <v>GASKET-ROCKER</v>
      </c>
      <c r="C1096">
        <v>4</v>
      </c>
      <c r="D1096">
        <v>547.94399999999996</v>
      </c>
    </row>
    <row r="1097" spans="1:4">
      <c r="A1097" t="str">
        <f>"13270-VC100"</f>
        <v>13270-VC100</v>
      </c>
      <c r="B1097" t="str">
        <f>"GASKET-ROCKER"</f>
        <v>GASKET-ROCKER</v>
      </c>
      <c r="C1097">
        <v>19</v>
      </c>
      <c r="D1097">
        <v>549.16800000000001</v>
      </c>
    </row>
    <row r="1098" spans="1:4">
      <c r="A1098" t="str">
        <f>"13270-VK50A"</f>
        <v>13270-VK50A</v>
      </c>
      <c r="B1098" t="str">
        <f>"Прокладка клапанной "</f>
        <v xml:space="preserve">Прокладка клапанной </v>
      </c>
      <c r="C1098">
        <v>5</v>
      </c>
      <c r="D1098">
        <v>454.92</v>
      </c>
    </row>
    <row r="1099" spans="1:4">
      <c r="A1099" t="str">
        <f>"13271-1E400"</f>
        <v>13271-1E400</v>
      </c>
      <c r="B1099" t="str">
        <f>"GASKET-ROCKER"</f>
        <v>GASKET-ROCKER</v>
      </c>
      <c r="C1099">
        <v>18</v>
      </c>
      <c r="D1099">
        <v>136.27199999999999</v>
      </c>
    </row>
    <row r="1100" spans="1:4">
      <c r="A1100" t="str">
        <f>"13271-2F200"</f>
        <v>13271-2F200</v>
      </c>
      <c r="B1100" t="str">
        <f>"GASKET-ROCKER"</f>
        <v>GASKET-ROCKER</v>
      </c>
      <c r="C1100">
        <v>40</v>
      </c>
      <c r="D1100">
        <v>363.93599999999998</v>
      </c>
    </row>
    <row r="1101" spans="1:4">
      <c r="A1101" t="str">
        <f>"13271-2J201"</f>
        <v>13271-2J201</v>
      </c>
      <c r="B1101" t="str">
        <f>"GASKET-ROCKER"</f>
        <v>GASKET-ROCKER</v>
      </c>
      <c r="C1101">
        <v>24</v>
      </c>
      <c r="D1101">
        <v>131.376</v>
      </c>
    </row>
    <row r="1102" spans="1:4">
      <c r="A1102" t="str">
        <f>"13271-4M501"</f>
        <v>13271-4M501</v>
      </c>
      <c r="B1102" t="str">
        <f>"GASKET-ROCKER"</f>
        <v>GASKET-ROCKER</v>
      </c>
      <c r="C1102">
        <v>71</v>
      </c>
      <c r="D1102">
        <v>75.072000000000003</v>
      </c>
    </row>
    <row r="1103" spans="1:4">
      <c r="A1103" t="str">
        <f>"13271-53J02"</f>
        <v>13271-53J02</v>
      </c>
      <c r="B1103" t="str">
        <f>"GASKET-ROCKER"</f>
        <v>GASKET-ROCKER</v>
      </c>
      <c r="C1103">
        <v>2</v>
      </c>
      <c r="D1103">
        <v>49.775999999999996</v>
      </c>
    </row>
    <row r="1104" spans="1:4">
      <c r="A1104" t="str">
        <f>"13276-2W201"</f>
        <v>13276-2W201</v>
      </c>
      <c r="B1104" t="str">
        <f>"SEAL-OIL COVER"</f>
        <v>SEAL-OIL COVER</v>
      </c>
      <c r="C1104">
        <v>178</v>
      </c>
      <c r="D1104">
        <v>257.44799999999998</v>
      </c>
    </row>
    <row r="1105" spans="1:4">
      <c r="A1105" t="str">
        <f>"13276-2W211"</f>
        <v>13276-2W211</v>
      </c>
      <c r="B1105" t="str">
        <f>"SEAL-OIL"</f>
        <v>SEAL-OIL</v>
      </c>
      <c r="C1105">
        <v>178</v>
      </c>
      <c r="D1105">
        <v>262.75200000000001</v>
      </c>
    </row>
    <row r="1106" spans="1:4">
      <c r="A1106" t="str">
        <f>"13276-31U1A"</f>
        <v>13276-31U1A</v>
      </c>
      <c r="B1106" t="str">
        <f>"Уплотнительное кольц"</f>
        <v>Уплотнительное кольц</v>
      </c>
      <c r="C1106">
        <v>119</v>
      </c>
      <c r="D1106">
        <v>152.59199999999998</v>
      </c>
    </row>
    <row r="1107" spans="1:4">
      <c r="A1107" t="str">
        <f>"13276-53Y0A"</f>
        <v>13276-53Y0A</v>
      </c>
      <c r="B1107" t="str">
        <f>"Уплотнительное кольц"</f>
        <v>Уплотнительное кольц</v>
      </c>
      <c r="C1107">
        <v>271</v>
      </c>
      <c r="D1107">
        <v>150.95999999999998</v>
      </c>
    </row>
    <row r="1108" spans="1:4">
      <c r="A1108" t="str">
        <f>"13276-6J90A"</f>
        <v>13276-6J90A</v>
      </c>
      <c r="B1108" t="str">
        <f>"Уплотнительное кольц"</f>
        <v>Уплотнительное кольц</v>
      </c>
      <c r="C1108">
        <v>54</v>
      </c>
      <c r="D1108">
        <v>185.64</v>
      </c>
    </row>
    <row r="1109" spans="1:4">
      <c r="A1109" t="str">
        <f>"13276-AD210"</f>
        <v>13276-AD210</v>
      </c>
      <c r="B1109" t="str">
        <f>"SEAL-OIL,INJ"</f>
        <v>SEAL-OIL,INJ</v>
      </c>
      <c r="C1109">
        <v>134</v>
      </c>
      <c r="D1109">
        <v>140.76</v>
      </c>
    </row>
    <row r="1110" spans="1:4">
      <c r="A1110" t="str">
        <f>"13276-BN30A"</f>
        <v>13276-BN30A</v>
      </c>
      <c r="B1110" t="str">
        <f>"Сальник топливной фо"</f>
        <v>Сальник топливной фо</v>
      </c>
      <c r="C1110">
        <v>21</v>
      </c>
      <c r="D1110">
        <v>143.61600000000001</v>
      </c>
    </row>
    <row r="1111" spans="1:4">
      <c r="A1111" t="str">
        <f>"13276-BN801"</f>
        <v>13276-BN801</v>
      </c>
      <c r="B1111" t="str">
        <f>"Уплотнительное кольц"</f>
        <v>Уплотнительное кольц</v>
      </c>
      <c r="C1111">
        <v>27</v>
      </c>
      <c r="D1111">
        <v>148.512</v>
      </c>
    </row>
    <row r="1112" spans="1:4">
      <c r="A1112" t="str">
        <f>"13500-0M301"</f>
        <v>13500-0M301</v>
      </c>
      <c r="B1112" t="str">
        <f>"COVER ASSY-FRON"</f>
        <v>COVER ASSY-FRON</v>
      </c>
      <c r="C1112">
        <v>4</v>
      </c>
      <c r="D1112">
        <v>6105.72</v>
      </c>
    </row>
    <row r="1113" spans="1:4">
      <c r="A1113" t="str">
        <f>"13500-53Y03"</f>
        <v>13500-53Y03</v>
      </c>
      <c r="B1113" t="str">
        <f>"Крышка двигателя пер"</f>
        <v>Крышка двигателя пер</v>
      </c>
      <c r="C1113">
        <v>11</v>
      </c>
      <c r="D1113">
        <v>5938.848</v>
      </c>
    </row>
    <row r="1114" spans="1:4">
      <c r="A1114" t="str">
        <f>"13500-53Y04"</f>
        <v>13500-53Y04</v>
      </c>
      <c r="B1114" t="str">
        <f>"COVER ASSY-FRON"</f>
        <v>COVER ASSY-FRON</v>
      </c>
      <c r="C1114">
        <v>15</v>
      </c>
      <c r="D1114">
        <v>7658.9759999999987</v>
      </c>
    </row>
    <row r="1115" spans="1:4">
      <c r="A1115" t="str">
        <f>"13500-5M00A"</f>
        <v>13500-5M00A</v>
      </c>
      <c r="B1115" t="str">
        <f>"Крышка двигателя пер"</f>
        <v>Крышка двигателя пер</v>
      </c>
      <c r="C1115">
        <v>6</v>
      </c>
      <c r="D1115">
        <v>7133.4720000000007</v>
      </c>
    </row>
    <row r="1116" spans="1:4">
      <c r="A1116" t="str">
        <f>"13500-8H70D"</f>
        <v>13500-8H70D</v>
      </c>
      <c r="B1116" t="str">
        <f>"Крышка двигателя пер"</f>
        <v>Крышка двигателя пер</v>
      </c>
      <c r="C1116">
        <v>4</v>
      </c>
      <c r="D1116">
        <v>6033.5039999999999</v>
      </c>
    </row>
    <row r="1117" spans="1:4">
      <c r="A1117" t="str">
        <f>"13500-BX01A"</f>
        <v>13500-BX01A</v>
      </c>
      <c r="B1117" t="str">
        <f>"Крышка двигателя"</f>
        <v>Крышка двигателя</v>
      </c>
      <c r="C1117">
        <v>2</v>
      </c>
      <c r="D1117">
        <v>8596.152</v>
      </c>
    </row>
    <row r="1118" spans="1:4">
      <c r="A1118" t="str">
        <f>"13500-EN200"</f>
        <v>13500-EN200</v>
      </c>
      <c r="B1118" t="str">
        <f>"Передняя крышка двиг"</f>
        <v>Передняя крышка двиг</v>
      </c>
      <c r="C1118">
        <v>0</v>
      </c>
      <c r="D1118">
        <v>7543.1039999999994</v>
      </c>
    </row>
    <row r="1119" spans="1:4">
      <c r="A1119" t="str">
        <f>"13510-01B00"</f>
        <v>13510-01B00</v>
      </c>
      <c r="B1119" t="str">
        <f>"SEAL-OIL CRANKS"</f>
        <v>SEAL-OIL CRANKS</v>
      </c>
      <c r="C1119">
        <v>2</v>
      </c>
      <c r="D1119">
        <v>227.256</v>
      </c>
    </row>
    <row r="1120" spans="1:4">
      <c r="A1120" t="str">
        <f>"13510-05E00"</f>
        <v>13510-05E00</v>
      </c>
      <c r="B1120" t="str">
        <f>"OIL SEAL-CRANK"</f>
        <v>OIL SEAL-CRANK</v>
      </c>
      <c r="C1120">
        <v>4</v>
      </c>
      <c r="D1120">
        <v>271.72800000000001</v>
      </c>
    </row>
    <row r="1121" spans="1:4">
      <c r="A1121" t="str">
        <f>"13510-10Y12"</f>
        <v>13510-10Y12</v>
      </c>
      <c r="B1121" t="str">
        <f>"OIL SEAL-CRANK"</f>
        <v>OIL SEAL-CRANK</v>
      </c>
      <c r="C1121">
        <v>6</v>
      </c>
      <c r="D1121">
        <v>248.06399999999999</v>
      </c>
    </row>
    <row r="1122" spans="1:4">
      <c r="A1122" t="str">
        <f>"13510-2F200"</f>
        <v>13510-2F200</v>
      </c>
      <c r="B1122" t="str">
        <f t="shared" ref="B1122:B1128" si="18">"SEAL-OIL,CRANKS"</f>
        <v>SEAL-OIL,CRANKS</v>
      </c>
      <c r="C1122">
        <v>42</v>
      </c>
      <c r="D1122">
        <v>502.65599999999995</v>
      </c>
    </row>
    <row r="1123" spans="1:4">
      <c r="A1123" t="str">
        <f>"13510-2J200"</f>
        <v>13510-2J200</v>
      </c>
      <c r="B1123" t="str">
        <f t="shared" si="18"/>
        <v>SEAL-OIL,CRANKS</v>
      </c>
      <c r="C1123">
        <v>10</v>
      </c>
      <c r="D1123">
        <v>244.392</v>
      </c>
    </row>
    <row r="1124" spans="1:4">
      <c r="A1124" t="str">
        <f>"13510-2W201"</f>
        <v>13510-2W201</v>
      </c>
      <c r="B1124" t="str">
        <f t="shared" si="18"/>
        <v>SEAL-OIL,CRANKS</v>
      </c>
      <c r="C1124">
        <v>16</v>
      </c>
      <c r="D1124">
        <v>357.81599999999997</v>
      </c>
    </row>
    <row r="1125" spans="1:4">
      <c r="A1125" t="str">
        <f>"13510-31U10"</f>
        <v>13510-31U10</v>
      </c>
      <c r="B1125" t="str">
        <f t="shared" si="18"/>
        <v>SEAL-OIL,CRANKS</v>
      </c>
      <c r="C1125">
        <v>69</v>
      </c>
      <c r="D1125">
        <v>250.10399999999998</v>
      </c>
    </row>
    <row r="1126" spans="1:4">
      <c r="A1126" t="str">
        <f>"13510-50B10"</f>
        <v>13510-50B10</v>
      </c>
      <c r="B1126" t="str">
        <f t="shared" si="18"/>
        <v>SEAL-OIL,CRANKS</v>
      </c>
      <c r="C1126">
        <v>58</v>
      </c>
      <c r="D1126">
        <v>228.48</v>
      </c>
    </row>
    <row r="1127" spans="1:4">
      <c r="A1127" t="str">
        <f>"13510-53J11"</f>
        <v>13510-53J11</v>
      </c>
      <c r="B1127" t="str">
        <f t="shared" si="18"/>
        <v>SEAL-OIL,CRANKS</v>
      </c>
      <c r="C1127">
        <v>6</v>
      </c>
      <c r="D1127">
        <v>246.83999999999997</v>
      </c>
    </row>
    <row r="1128" spans="1:4">
      <c r="A1128" t="str">
        <f>"13510-6N210"</f>
        <v>13510-6N210</v>
      </c>
      <c r="B1128" t="str">
        <f t="shared" si="18"/>
        <v>SEAL-OIL,CRANKS</v>
      </c>
      <c r="C1128">
        <v>43</v>
      </c>
      <c r="D1128">
        <v>238.68</v>
      </c>
    </row>
    <row r="1129" spans="1:4">
      <c r="A1129" t="str">
        <f>"13510-88G00"</f>
        <v>13510-88G00</v>
      </c>
      <c r="B1129" t="str">
        <f>"OIL SEAL-CRANK"</f>
        <v>OIL SEAL-CRANK</v>
      </c>
      <c r="C1129">
        <v>37</v>
      </c>
      <c r="D1129">
        <v>200.328</v>
      </c>
    </row>
    <row r="1130" spans="1:4">
      <c r="A1130" t="str">
        <f>"13510-95F0A"</f>
        <v>13510-95F0A</v>
      </c>
      <c r="B1130" t="str">
        <f>"Сальник коленвала пе"</f>
        <v>Сальник коленвала пе</v>
      </c>
      <c r="C1130">
        <v>16</v>
      </c>
      <c r="D1130">
        <v>394.12799999999999</v>
      </c>
    </row>
    <row r="1131" spans="1:4">
      <c r="A1131" t="str">
        <f>"13510-AD200"</f>
        <v>13510-AD200</v>
      </c>
      <c r="B1131" t="str">
        <f>"OIL SEAL-CRANK"</f>
        <v>OIL SEAL-CRANK</v>
      </c>
      <c r="C1131">
        <v>1</v>
      </c>
      <c r="D1131">
        <v>204.816</v>
      </c>
    </row>
    <row r="1132" spans="1:4">
      <c r="A1132" t="str">
        <f>"13510-AW400"</f>
        <v>13510-AW400</v>
      </c>
      <c r="B1132" t="str">
        <f>"Сальник коленвала пе"</f>
        <v>Сальник коленвала пе</v>
      </c>
      <c r="C1132">
        <v>0</v>
      </c>
      <c r="D1132">
        <v>263.56799999999998</v>
      </c>
    </row>
    <row r="1133" spans="1:4">
      <c r="A1133" t="str">
        <f>"13510-EB71A"</f>
        <v>13510-EB71A</v>
      </c>
      <c r="B1133" t="str">
        <f>"Сальник коленвала пе"</f>
        <v>Сальник коленвала пе</v>
      </c>
      <c r="C1133">
        <v>30</v>
      </c>
      <c r="D1133">
        <v>354.96</v>
      </c>
    </row>
    <row r="1134" spans="1:4">
      <c r="A1134" t="str">
        <f>"13510-ED000"</f>
        <v>13510-ED000</v>
      </c>
      <c r="B1134" t="str">
        <f>"Сальник коленвала пе"</f>
        <v>Сальник коленвала пе</v>
      </c>
      <c r="C1134">
        <v>9</v>
      </c>
      <c r="D1134">
        <v>239.08799999999999</v>
      </c>
    </row>
    <row r="1135" spans="1:4">
      <c r="A1135" t="str">
        <f>"13510-V720A"</f>
        <v>13510-V720A</v>
      </c>
      <c r="B1135" t="str">
        <f>"Сальник коленвала пе"</f>
        <v>Сальник коленвала пе</v>
      </c>
      <c r="C1135">
        <v>0</v>
      </c>
      <c r="D1135">
        <v>177.48</v>
      </c>
    </row>
    <row r="1136" spans="1:4">
      <c r="A1136" t="str">
        <f>"13510-VC200"</f>
        <v>13510-VC200</v>
      </c>
      <c r="B1136" t="str">
        <f>"SEAL-OIL,CRANKS"</f>
        <v>SEAL-OIL,CRANKS</v>
      </c>
      <c r="C1136">
        <v>9</v>
      </c>
      <c r="D1136">
        <v>359.85599999999999</v>
      </c>
    </row>
    <row r="1137" spans="1:4">
      <c r="A1137" t="str">
        <f>"13520-AD210"</f>
        <v>13520-AD210</v>
      </c>
      <c r="B1137" t="str">
        <f>"GASKET-FRONT CO"</f>
        <v>GASKET-FRONT CO</v>
      </c>
      <c r="C1137">
        <v>19</v>
      </c>
      <c r="D1137">
        <v>275.80799999999999</v>
      </c>
    </row>
    <row r="1138" spans="1:4">
      <c r="A1138" t="str">
        <f>"13520-BN80A"</f>
        <v>13520-BN80A</v>
      </c>
      <c r="B1138" t="str">
        <f>"Прокладка передней к"</f>
        <v>Прокладка передней к</v>
      </c>
      <c r="C1138">
        <v>0</v>
      </c>
      <c r="D1138">
        <v>169.72799999999998</v>
      </c>
    </row>
    <row r="1139" spans="1:4">
      <c r="A1139" t="str">
        <f>"13520-EC01A"</f>
        <v>13520-EC01A</v>
      </c>
      <c r="B1139" t="str">
        <f>"Прокладка передней к"</f>
        <v>Прокладка передней к</v>
      </c>
      <c r="C1139">
        <v>0</v>
      </c>
      <c r="D1139">
        <v>168.096</v>
      </c>
    </row>
    <row r="1140" spans="1:4">
      <c r="A1140" t="str">
        <f>"13533-AU000"</f>
        <v>13533-AU000</v>
      </c>
      <c r="B1140" t="str">
        <f>"GSKT-OIL GALL"</f>
        <v>GSKT-OIL GALL</v>
      </c>
      <c r="C1140">
        <v>61</v>
      </c>
      <c r="D1140">
        <v>197.88</v>
      </c>
    </row>
    <row r="1141" spans="1:4">
      <c r="A1141" t="str">
        <f>"13533-AX010"</f>
        <v>13533-AX010</v>
      </c>
      <c r="B1141" t="str">
        <f>"GSKT-OIL GALL"</f>
        <v>GSKT-OIL GALL</v>
      </c>
      <c r="C1141">
        <v>34</v>
      </c>
      <c r="D1141">
        <v>146.47200000000001</v>
      </c>
    </row>
    <row r="1142" spans="1:4">
      <c r="A1142" t="str">
        <f>"14002-74C01"</f>
        <v>14002-74C01</v>
      </c>
      <c r="B1142" t="str">
        <f>"MANIFOLD ASSY-E"</f>
        <v>MANIFOLD ASSY-E</v>
      </c>
      <c r="C1142">
        <v>2</v>
      </c>
      <c r="D1142">
        <v>7554.9359999999997</v>
      </c>
    </row>
    <row r="1143" spans="1:4">
      <c r="A1143" t="str">
        <f>"14002-7S00B"</f>
        <v>14002-7S00B</v>
      </c>
      <c r="B1143" t="str">
        <f>"Коллектор выпуск"</f>
        <v>Коллектор выпуск</v>
      </c>
      <c r="C1143">
        <v>5</v>
      </c>
      <c r="D1143">
        <v>25223.376</v>
      </c>
    </row>
    <row r="1144" spans="1:4">
      <c r="A1144" t="str">
        <f>"14002-7S00C"</f>
        <v>14002-7S00C</v>
      </c>
      <c r="B1144" t="str">
        <f>"Коллектор выпуск"</f>
        <v>Коллектор выпуск</v>
      </c>
      <c r="C1144">
        <v>1</v>
      </c>
      <c r="D1144">
        <v>25223.376</v>
      </c>
    </row>
    <row r="1145" spans="1:4">
      <c r="A1145" t="str">
        <f>"14002-7S01C"</f>
        <v>14002-7S01C</v>
      </c>
      <c r="B1145" t="str">
        <f>"Коллектор выпуск"</f>
        <v>Коллектор выпуск</v>
      </c>
      <c r="C1145">
        <v>6</v>
      </c>
      <c r="D1145">
        <v>27619.151999999998</v>
      </c>
    </row>
    <row r="1146" spans="1:4">
      <c r="A1146" t="str">
        <f>"14002-JD90A"</f>
        <v>14002-JD90A</v>
      </c>
      <c r="B1146" t="str">
        <f>"Коллектор выпуск"</f>
        <v>Коллектор выпуск</v>
      </c>
      <c r="C1146">
        <v>1</v>
      </c>
      <c r="D1146">
        <v>37225.511999999995</v>
      </c>
    </row>
    <row r="1147" spans="1:4">
      <c r="A1147" t="str">
        <f>"14004-CA000"</f>
        <v>14004-CA000</v>
      </c>
      <c r="B1147" t="str">
        <f>"Коллектор выпуск"</f>
        <v>Коллектор выпуск</v>
      </c>
      <c r="C1147">
        <v>19</v>
      </c>
      <c r="D1147">
        <v>5188.1279999999997</v>
      </c>
    </row>
    <row r="1148" spans="1:4">
      <c r="A1148" t="str">
        <f>"14006-1W600"</f>
        <v>14006-1W600</v>
      </c>
      <c r="B1148" t="str">
        <f>"MANIFOLD ASSY"</f>
        <v>MANIFOLD ASSY</v>
      </c>
      <c r="C1148">
        <v>0</v>
      </c>
      <c r="D1148">
        <v>5812.3680000000004</v>
      </c>
    </row>
    <row r="1149" spans="1:4">
      <c r="A1149" t="str">
        <f>"14006-8J100"</f>
        <v>14006-8J100</v>
      </c>
      <c r="B1149" t="str">
        <f>"MANIFOLD ASSY"</f>
        <v>MANIFOLD ASSY</v>
      </c>
      <c r="C1149">
        <v>3</v>
      </c>
      <c r="D1149">
        <v>5293.3919999999998</v>
      </c>
    </row>
    <row r="1150" spans="1:4">
      <c r="A1150" t="str">
        <f>"14032-31U00"</f>
        <v>14032-31U00</v>
      </c>
      <c r="B1150" t="str">
        <f>"GASKET-INTAKE"</f>
        <v>GASKET-INTAKE</v>
      </c>
      <c r="C1150">
        <v>3</v>
      </c>
      <c r="D1150">
        <v>527.13599999999997</v>
      </c>
    </row>
    <row r="1151" spans="1:4">
      <c r="A1151" t="str">
        <f>"14032-38U00"</f>
        <v>14032-38U00</v>
      </c>
      <c r="B1151" t="str">
        <f>"GASKET-INTAKE"</f>
        <v>GASKET-INTAKE</v>
      </c>
      <c r="C1151">
        <v>6</v>
      </c>
      <c r="D1151">
        <v>368.01600000000002</v>
      </c>
    </row>
    <row r="1152" spans="1:4">
      <c r="A1152" t="str">
        <f>"14032-8H300"</f>
        <v>14032-8H300</v>
      </c>
      <c r="B1152" t="str">
        <f>"GASKET-ADAPTER"</f>
        <v>GASKET-ADAPTER</v>
      </c>
      <c r="C1152">
        <v>12</v>
      </c>
      <c r="D1152">
        <v>848.23199999999997</v>
      </c>
    </row>
    <row r="1153" spans="1:4">
      <c r="A1153" t="str">
        <f>"14032-8J10A"</f>
        <v>14032-8J10A</v>
      </c>
      <c r="B1153" t="str">
        <f>"Прокладка впускного "</f>
        <v xml:space="preserve">Прокладка впускного </v>
      </c>
      <c r="C1153">
        <v>23</v>
      </c>
      <c r="D1153">
        <v>871.89600000000007</v>
      </c>
    </row>
    <row r="1154" spans="1:4">
      <c r="A1154" t="str">
        <f>"14032-AE00A"</f>
        <v>14032-AE00A</v>
      </c>
      <c r="B1154" t="str">
        <f>"Прокладка впускного "</f>
        <v xml:space="preserve">Прокладка впускного </v>
      </c>
      <c r="C1154">
        <v>6</v>
      </c>
      <c r="D1154">
        <v>862.51199999999994</v>
      </c>
    </row>
    <row r="1155" spans="1:4">
      <c r="A1155" t="str">
        <f>"14032-AM600"</f>
        <v>14032-AM600</v>
      </c>
      <c r="B1155" t="str">
        <f>"GASKET-ADAPTER"</f>
        <v>GASKET-ADAPTER</v>
      </c>
      <c r="C1155">
        <v>10</v>
      </c>
      <c r="D1155">
        <v>871.07999999999993</v>
      </c>
    </row>
    <row r="1156" spans="1:4">
      <c r="A1156" t="str">
        <f>"14032-AQ805"</f>
        <v>14032-AQ805</v>
      </c>
      <c r="B1156" t="str">
        <f>"Прокладка впускного "</f>
        <v xml:space="preserve">Прокладка впускного </v>
      </c>
      <c r="C1156">
        <v>22</v>
      </c>
      <c r="D1156">
        <v>807.84</v>
      </c>
    </row>
    <row r="1157" spans="1:4">
      <c r="A1157" t="str">
        <f>"14032-AU000"</f>
        <v>14032-AU000</v>
      </c>
      <c r="B1157" t="str">
        <f>"GASKET-ADAPTER"</f>
        <v>GASKET-ADAPTER</v>
      </c>
      <c r="C1157">
        <v>16</v>
      </c>
      <c r="D1157">
        <v>82.823999999999998</v>
      </c>
    </row>
    <row r="1158" spans="1:4">
      <c r="A1158" t="str">
        <f>"14032-AX010"</f>
        <v>14032-AX010</v>
      </c>
      <c r="B1158" t="str">
        <f>"PACKING"</f>
        <v>PACKING</v>
      </c>
      <c r="C1158">
        <v>0</v>
      </c>
      <c r="D1158">
        <v>163.19999999999999</v>
      </c>
    </row>
    <row r="1159" spans="1:4">
      <c r="A1159" t="str">
        <f>"14032-AX600"</f>
        <v>14032-AX600</v>
      </c>
      <c r="B1159" t="str">
        <f>"GASKET-ADAPTER"</f>
        <v>GASKET-ADAPTER</v>
      </c>
      <c r="C1159">
        <v>12</v>
      </c>
      <c r="D1159">
        <v>538.96799999999996</v>
      </c>
    </row>
    <row r="1160" spans="1:4">
      <c r="A1160" t="str">
        <f>"14032-AX610"</f>
        <v>14032-AX610</v>
      </c>
      <c r="B1160" t="str">
        <f>"PACKING"</f>
        <v>PACKING</v>
      </c>
      <c r="C1160">
        <v>59</v>
      </c>
      <c r="D1160">
        <v>163.19999999999999</v>
      </c>
    </row>
    <row r="1161" spans="1:4">
      <c r="A1161" t="str">
        <f>"14032-EA200"</f>
        <v>14032-EA200</v>
      </c>
      <c r="B1161" t="str">
        <f>"Прокладка впускного "</f>
        <v xml:space="preserve">Прокладка впускного </v>
      </c>
      <c r="C1161">
        <v>14</v>
      </c>
      <c r="D1161">
        <v>315.38399999999996</v>
      </c>
    </row>
    <row r="1162" spans="1:4">
      <c r="A1162" t="str">
        <f>"14032-JA10A"</f>
        <v>14032-JA10A</v>
      </c>
      <c r="B1162" t="str">
        <f>"Прокладка"</f>
        <v>Прокладка</v>
      </c>
      <c r="C1162">
        <v>1</v>
      </c>
      <c r="D1162">
        <v>1299.48</v>
      </c>
    </row>
    <row r="1163" spans="1:4">
      <c r="A1163" t="str">
        <f>"14032-JA11A"</f>
        <v>14032-JA11A</v>
      </c>
      <c r="B1163" t="str">
        <f>"Прокладка коллектора"</f>
        <v>Прокладка коллектора</v>
      </c>
      <c r="C1163">
        <v>0</v>
      </c>
      <c r="D1163">
        <v>1299.48</v>
      </c>
    </row>
    <row r="1164" spans="1:4">
      <c r="A1164" t="str">
        <f>"14033-2Y001"</f>
        <v>14033-2Y001</v>
      </c>
      <c r="B1164" t="str">
        <f>"GSKT-COLLECTOR"</f>
        <v>GSKT-COLLECTOR</v>
      </c>
      <c r="C1164">
        <v>132</v>
      </c>
      <c r="D1164">
        <v>90.983999999999995</v>
      </c>
    </row>
    <row r="1165" spans="1:4">
      <c r="A1165" t="str">
        <f>"14033-2Y901"</f>
        <v>14033-2Y901</v>
      </c>
      <c r="B1165" t="str">
        <f>"GSKT-COLLECTOR"</f>
        <v>GSKT-COLLECTOR</v>
      </c>
      <c r="C1165">
        <v>17</v>
      </c>
      <c r="D1165">
        <v>92.616</v>
      </c>
    </row>
    <row r="1166" spans="1:4">
      <c r="A1166" t="str">
        <f>"14033-38U00"</f>
        <v>14033-38U00</v>
      </c>
      <c r="B1166" t="str">
        <f>"GSKT-COLLECTOR"</f>
        <v>GSKT-COLLECTOR</v>
      </c>
      <c r="C1166">
        <v>3</v>
      </c>
      <c r="D1166">
        <v>103.22399999999999</v>
      </c>
    </row>
    <row r="1167" spans="1:4">
      <c r="A1167" t="str">
        <f>"14033-4W010"</f>
        <v>14033-4W010</v>
      </c>
      <c r="B1167" t="str">
        <f>"GSKT-COLLECTOR"</f>
        <v>GSKT-COLLECTOR</v>
      </c>
      <c r="C1167">
        <v>5</v>
      </c>
      <c r="D1167">
        <v>186.45599999999999</v>
      </c>
    </row>
    <row r="1168" spans="1:4">
      <c r="A1168" t="str">
        <f>"14033-75P00"</f>
        <v>14033-75P00</v>
      </c>
      <c r="B1168" t="str">
        <f>"GASKET-INTAKE M"</f>
        <v>GASKET-INTAKE M</v>
      </c>
      <c r="C1168">
        <v>6</v>
      </c>
      <c r="D1168">
        <v>198.696</v>
      </c>
    </row>
    <row r="1169" spans="1:4">
      <c r="A1169" t="str">
        <f>"14033-AM600"</f>
        <v>14033-AM600</v>
      </c>
      <c r="B1169" t="str">
        <f>"Прокладка впускного "</f>
        <v xml:space="preserve">Прокладка впускного </v>
      </c>
      <c r="C1169">
        <v>17</v>
      </c>
      <c r="D1169">
        <v>888.21599999999989</v>
      </c>
    </row>
    <row r="1170" spans="1:4">
      <c r="A1170" t="str">
        <f>"14035-2F000"</f>
        <v>14035-2F000</v>
      </c>
      <c r="B1170" t="str">
        <f t="shared" ref="B1170:B1175" si="19">"GASKET-MANIFOLD"</f>
        <v>GASKET-MANIFOLD</v>
      </c>
      <c r="C1170">
        <v>8</v>
      </c>
      <c r="D1170">
        <v>235.416</v>
      </c>
    </row>
    <row r="1171" spans="1:4">
      <c r="A1171" t="str">
        <f>"14035-2F200"</f>
        <v>14035-2F200</v>
      </c>
      <c r="B1171" t="str">
        <f t="shared" si="19"/>
        <v>GASKET-MANIFOLD</v>
      </c>
      <c r="C1171">
        <v>5</v>
      </c>
      <c r="D1171">
        <v>237.86399999999998</v>
      </c>
    </row>
    <row r="1172" spans="1:4">
      <c r="A1172" t="str">
        <f>"14035-2W201"</f>
        <v>14035-2W201</v>
      </c>
      <c r="B1172" t="str">
        <f t="shared" si="19"/>
        <v>GASKET-MANIFOLD</v>
      </c>
      <c r="C1172">
        <v>9</v>
      </c>
      <c r="D1172">
        <v>983.68799999999999</v>
      </c>
    </row>
    <row r="1173" spans="1:4">
      <c r="A1173" t="str">
        <f>"14035-2Y000"</f>
        <v>14035-2Y000</v>
      </c>
      <c r="B1173" t="str">
        <f t="shared" si="19"/>
        <v>GASKET-MANIFOLD</v>
      </c>
      <c r="C1173">
        <v>20</v>
      </c>
      <c r="D1173">
        <v>565.89599999999996</v>
      </c>
    </row>
    <row r="1174" spans="1:4">
      <c r="A1174" t="str">
        <f>"14035-31U00"</f>
        <v>14035-31U00</v>
      </c>
      <c r="B1174" t="str">
        <f t="shared" si="19"/>
        <v>GASKET-MANIFOLD</v>
      </c>
      <c r="C1174">
        <v>5</v>
      </c>
      <c r="D1174">
        <v>876.79199999999992</v>
      </c>
    </row>
    <row r="1175" spans="1:4">
      <c r="A1175" t="str">
        <f>"14035-38U01"</f>
        <v>14035-38U01</v>
      </c>
      <c r="B1175" t="str">
        <f t="shared" si="19"/>
        <v>GASKET-MANIFOLD</v>
      </c>
      <c r="C1175">
        <v>13</v>
      </c>
      <c r="D1175">
        <v>862.51199999999994</v>
      </c>
    </row>
    <row r="1176" spans="1:4">
      <c r="A1176" t="str">
        <f>"14035-40F10"</f>
        <v>14035-40F10</v>
      </c>
      <c r="B1176" t="str">
        <f>"S GASKET-INT MA"</f>
        <v>S GASKET-INT MA</v>
      </c>
      <c r="C1176">
        <v>6</v>
      </c>
      <c r="D1176">
        <v>134.63999999999999</v>
      </c>
    </row>
    <row r="1177" spans="1:4">
      <c r="A1177" t="str">
        <f>"14035-4M500"</f>
        <v>14035-4M500</v>
      </c>
      <c r="B1177" t="str">
        <f>"GASKET-MANIFOLD"</f>
        <v>GASKET-MANIFOLD</v>
      </c>
      <c r="C1177">
        <v>3</v>
      </c>
      <c r="D1177">
        <v>551.20799999999997</v>
      </c>
    </row>
    <row r="1178" spans="1:4">
      <c r="A1178" t="str">
        <f>"14035-57J01"</f>
        <v>14035-57J01</v>
      </c>
      <c r="B1178" t="str">
        <f>"GASKET-MANIFOLD"</f>
        <v>GASKET-MANIFOLD</v>
      </c>
      <c r="C1178">
        <v>7</v>
      </c>
      <c r="D1178">
        <v>598.12799999999993</v>
      </c>
    </row>
    <row r="1179" spans="1:4">
      <c r="A1179" t="str">
        <f>"14035-69T60"</f>
        <v>14035-69T60</v>
      </c>
      <c r="B1179" t="str">
        <f>"GASKET-MANIFOLD"</f>
        <v>GASKET-MANIFOLD</v>
      </c>
      <c r="C1179">
        <v>3</v>
      </c>
      <c r="D1179">
        <v>199.92</v>
      </c>
    </row>
    <row r="1180" spans="1:4">
      <c r="A1180" t="str">
        <f>"14035-7S000"</f>
        <v>14035-7S000</v>
      </c>
      <c r="B1180" t="str">
        <f>"Прокладка впускного "</f>
        <v xml:space="preserve">Прокладка впускного </v>
      </c>
      <c r="C1180">
        <v>40</v>
      </c>
      <c r="D1180">
        <v>130.15199999999999</v>
      </c>
    </row>
    <row r="1181" spans="1:4">
      <c r="A1181" t="str">
        <f>"14035-8H30A"</f>
        <v>14035-8H30A</v>
      </c>
      <c r="B1181" t="str">
        <f>"Прокладка впускного "</f>
        <v xml:space="preserve">Прокладка впускного </v>
      </c>
      <c r="C1181">
        <v>22</v>
      </c>
      <c r="D1181">
        <v>563.04</v>
      </c>
    </row>
    <row r="1182" spans="1:4">
      <c r="A1182" t="str">
        <f>"14035-8J101"</f>
        <v>14035-8J101</v>
      </c>
      <c r="B1182" t="str">
        <f>"GASKET-MANIFOLD"</f>
        <v>GASKET-MANIFOLD</v>
      </c>
      <c r="C1182">
        <v>26</v>
      </c>
      <c r="D1182">
        <v>638.11199999999997</v>
      </c>
    </row>
    <row r="1183" spans="1:4">
      <c r="A1183" t="str">
        <f>"14035-95F0A"</f>
        <v>14035-95F0A</v>
      </c>
      <c r="B1183" t="str">
        <f>"Прокладка впускного "</f>
        <v xml:space="preserve">Прокладка впускного </v>
      </c>
      <c r="C1183">
        <v>5</v>
      </c>
      <c r="D1183">
        <v>580.17600000000004</v>
      </c>
    </row>
    <row r="1184" spans="1:4">
      <c r="A1184" t="str">
        <f>"14035-9F610"</f>
        <v>14035-9F610</v>
      </c>
      <c r="B1184" t="str">
        <f>"GASKET-MANIFOLD"</f>
        <v>GASKET-MANIFOLD</v>
      </c>
      <c r="C1184">
        <v>10</v>
      </c>
      <c r="D1184">
        <v>624.64799999999991</v>
      </c>
    </row>
    <row r="1185" spans="1:4">
      <c r="A1185" t="str">
        <f>"14035-AD200"</f>
        <v>14035-AD200</v>
      </c>
      <c r="B1185" t="str">
        <f>"GASKET-MANIFOLD"</f>
        <v>GASKET-MANIFOLD</v>
      </c>
      <c r="C1185">
        <v>49</v>
      </c>
      <c r="D1185">
        <v>290.49599999999998</v>
      </c>
    </row>
    <row r="1186" spans="1:4">
      <c r="A1186" t="str">
        <f>"14035-AU300"</f>
        <v>14035-AU300</v>
      </c>
      <c r="B1186" t="str">
        <f>"GASKET-MANIFOLD"</f>
        <v>GASKET-MANIFOLD</v>
      </c>
      <c r="C1186">
        <v>37</v>
      </c>
      <c r="D1186">
        <v>578.13599999999997</v>
      </c>
    </row>
    <row r="1187" spans="1:4">
      <c r="A1187" t="str">
        <f>"14035-EB300"</f>
        <v>14035-EB300</v>
      </c>
      <c r="B1187" t="str">
        <f>"GASKET-MANIFOLD"</f>
        <v>GASKET-MANIFOLD</v>
      </c>
      <c r="C1187">
        <v>17</v>
      </c>
      <c r="D1187">
        <v>830.28</v>
      </c>
    </row>
    <row r="1188" spans="1:4">
      <c r="A1188" t="str">
        <f>"14035-ED000"</f>
        <v>14035-ED000</v>
      </c>
      <c r="B1188" t="str">
        <f>"Прокладка впускного "</f>
        <v xml:space="preserve">Прокладка впускного </v>
      </c>
      <c r="C1188">
        <v>21</v>
      </c>
      <c r="D1188">
        <v>864.14400000000001</v>
      </c>
    </row>
    <row r="1189" spans="1:4">
      <c r="A1189" t="str">
        <f>"14035-ED800"</f>
        <v>14035-ED800</v>
      </c>
      <c r="B1189" t="str">
        <f>"Прокладка впускного "</f>
        <v xml:space="preserve">Прокладка впускного </v>
      </c>
      <c r="C1189">
        <v>16</v>
      </c>
      <c r="D1189">
        <v>849.86400000000003</v>
      </c>
    </row>
    <row r="1190" spans="1:4">
      <c r="A1190" t="str">
        <f>"14035-JG35A"</f>
        <v>14035-JG35A</v>
      </c>
      <c r="B1190" t="str">
        <f>"Прокладка впускного "</f>
        <v xml:space="preserve">Прокладка впускного </v>
      </c>
      <c r="C1190">
        <v>1</v>
      </c>
      <c r="D1190">
        <v>867</v>
      </c>
    </row>
    <row r="1191" spans="1:4">
      <c r="A1191" t="str">
        <f>"14035-MA70A"</f>
        <v>14035-MA70A</v>
      </c>
      <c r="B1191" t="str">
        <f>"Прокладка впускного "</f>
        <v xml:space="preserve">Прокладка впускного </v>
      </c>
      <c r="C1191">
        <v>1</v>
      </c>
      <c r="D1191">
        <v>895.56</v>
      </c>
    </row>
    <row r="1192" spans="1:4">
      <c r="A1192" t="str">
        <f>"14035-V5202"</f>
        <v>14035-V5202</v>
      </c>
      <c r="B1192" t="str">
        <f>"GASKET-MANIFOLD"</f>
        <v>GASKET-MANIFOLD</v>
      </c>
      <c r="C1192">
        <v>5</v>
      </c>
      <c r="D1192">
        <v>1059.576</v>
      </c>
    </row>
    <row r="1193" spans="1:4">
      <c r="A1193" t="str">
        <f>"14035-V5205"</f>
        <v>14035-V5205</v>
      </c>
      <c r="B1193" t="str">
        <f>"GASKET-MANIFOLD"</f>
        <v>GASKET-MANIFOLD</v>
      </c>
      <c r="C1193">
        <v>5</v>
      </c>
      <c r="D1193">
        <v>342.72</v>
      </c>
    </row>
    <row r="1194" spans="1:4">
      <c r="A1194" t="str">
        <f>"14035-V7200"</f>
        <v>14035-V7200</v>
      </c>
      <c r="B1194" t="str">
        <f>"GASKET-MANIFOLD"</f>
        <v>GASKET-MANIFOLD</v>
      </c>
      <c r="C1194">
        <v>7</v>
      </c>
      <c r="D1194">
        <v>984.50399999999991</v>
      </c>
    </row>
    <row r="1195" spans="1:4">
      <c r="A1195" t="str">
        <f>"14035-WE00A"</f>
        <v>14035-WE00A</v>
      </c>
      <c r="B1195" t="str">
        <f>"Прокладка впускного "</f>
        <v xml:space="preserve">Прокладка впускного </v>
      </c>
      <c r="C1195">
        <v>26</v>
      </c>
      <c r="D1195">
        <v>572.83199999999999</v>
      </c>
    </row>
    <row r="1196" spans="1:4">
      <c r="A1196" t="str">
        <f>"14036-03J00"</f>
        <v>14036-03J00</v>
      </c>
      <c r="B1196" t="str">
        <f>"S GASKET-EXH MA"</f>
        <v>S GASKET-EXH MA</v>
      </c>
      <c r="C1196">
        <v>3</v>
      </c>
      <c r="D1196">
        <v>1044.8879999999999</v>
      </c>
    </row>
    <row r="1197" spans="1:4">
      <c r="A1197" t="str">
        <f>"14036-0M300"</f>
        <v>14036-0M300</v>
      </c>
      <c r="B1197" t="str">
        <f>"S GASKET-EXH MA"</f>
        <v>S GASKET-EXH MA</v>
      </c>
      <c r="C1197">
        <v>15</v>
      </c>
      <c r="D1197">
        <v>336.19200000000001</v>
      </c>
    </row>
    <row r="1198" spans="1:4">
      <c r="A1198" t="str">
        <f>"14036-0W000"</f>
        <v>14036-0W000</v>
      </c>
      <c r="B1198" t="str">
        <f>"S GASKET-EXH MA"</f>
        <v>S GASKET-EXH MA</v>
      </c>
      <c r="C1198">
        <v>8</v>
      </c>
      <c r="D1198">
        <v>271.72800000000001</v>
      </c>
    </row>
    <row r="1199" spans="1:4">
      <c r="A1199" t="str">
        <f>"14036-1VA0A"</f>
        <v>14036-1VA0A</v>
      </c>
      <c r="B1199" t="str">
        <f>"Прокладка выпускного"</f>
        <v>Прокладка выпускного</v>
      </c>
      <c r="C1199">
        <v>3</v>
      </c>
      <c r="D1199">
        <v>853.53599999999994</v>
      </c>
    </row>
    <row r="1200" spans="1:4">
      <c r="A1200" t="str">
        <f>"14036-31N01"</f>
        <v>14036-31N01</v>
      </c>
      <c r="B1200" t="str">
        <f>"S GASKET-EXH MA"</f>
        <v>S GASKET-EXH MA</v>
      </c>
      <c r="C1200">
        <v>0</v>
      </c>
      <c r="D1200">
        <v>250.10399999999998</v>
      </c>
    </row>
    <row r="1201" spans="1:4">
      <c r="A1201" t="str">
        <f>"14036-40F00"</f>
        <v>14036-40F00</v>
      </c>
      <c r="B1201" t="str">
        <f>"S GASKET-EXH MA"</f>
        <v>S GASKET-EXH MA</v>
      </c>
      <c r="C1201">
        <v>16</v>
      </c>
      <c r="D1201">
        <v>119.544</v>
      </c>
    </row>
    <row r="1202" spans="1:4">
      <c r="A1202" t="str">
        <f>"14036-4W015"</f>
        <v>14036-4W015</v>
      </c>
      <c r="B1202" t="str">
        <f>"S GASKET-EXH MA"</f>
        <v>S GASKET-EXH MA</v>
      </c>
      <c r="C1202">
        <v>22</v>
      </c>
      <c r="D1202">
        <v>232.15199999999999</v>
      </c>
    </row>
    <row r="1203" spans="1:4">
      <c r="A1203" t="str">
        <f>"14036-53J00"</f>
        <v>14036-53J00</v>
      </c>
      <c r="B1203" t="str">
        <f>"S GASKET-EXH MA"</f>
        <v>S GASKET-EXH MA</v>
      </c>
      <c r="C1203">
        <v>10</v>
      </c>
      <c r="D1203">
        <v>407.18399999999997</v>
      </c>
    </row>
    <row r="1204" spans="1:4">
      <c r="A1204" t="str">
        <f>"14036-6N200"</f>
        <v>14036-6N200</v>
      </c>
      <c r="B1204" t="str">
        <f>"GASKET-EXHAUST"</f>
        <v>GASKET-EXHAUST</v>
      </c>
      <c r="C1204">
        <v>49</v>
      </c>
      <c r="D1204">
        <v>274.99199999999996</v>
      </c>
    </row>
    <row r="1205" spans="1:4">
      <c r="A1205" t="str">
        <f>"14036-70J01"</f>
        <v>14036-70J01</v>
      </c>
      <c r="B1205" t="str">
        <f>"GASKET-EXHAUST"</f>
        <v>GASKET-EXHAUST</v>
      </c>
      <c r="C1205">
        <v>2</v>
      </c>
      <c r="D1205">
        <v>368.01600000000002</v>
      </c>
    </row>
    <row r="1206" spans="1:4">
      <c r="A1206" t="str">
        <f>"14036-7J500"</f>
        <v>14036-7J500</v>
      </c>
      <c r="B1206" t="str">
        <f>"S GASKET-EXH MA"</f>
        <v>S GASKET-EXH MA</v>
      </c>
      <c r="C1206">
        <v>1</v>
      </c>
      <c r="D1206">
        <v>672.38400000000001</v>
      </c>
    </row>
    <row r="1207" spans="1:4">
      <c r="A1207" t="str">
        <f>"14036-7S001"</f>
        <v>14036-7S001</v>
      </c>
      <c r="B1207" t="str">
        <f>"Прокладка выпускного"</f>
        <v>Прокладка выпускного</v>
      </c>
      <c r="C1207">
        <v>11</v>
      </c>
      <c r="D1207">
        <v>651.98400000000004</v>
      </c>
    </row>
    <row r="1208" spans="1:4">
      <c r="A1208" t="str">
        <f>"14036-95F0A"</f>
        <v>14036-95F0A</v>
      </c>
      <c r="B1208" t="str">
        <f>"Прокладка выпускного"</f>
        <v>Прокладка выпускного</v>
      </c>
      <c r="C1208">
        <v>21</v>
      </c>
      <c r="D1208">
        <v>436.56</v>
      </c>
    </row>
    <row r="1209" spans="1:4">
      <c r="A1209" t="str">
        <f>"14036-AD210"</f>
        <v>14036-AD210</v>
      </c>
      <c r="B1209" t="str">
        <f>"S GASKET-EXH MA"</f>
        <v>S GASKET-EXH MA</v>
      </c>
      <c r="C1209">
        <v>8</v>
      </c>
      <c r="D1209">
        <v>854.75999999999988</v>
      </c>
    </row>
    <row r="1210" spans="1:4">
      <c r="A1210" t="str">
        <f>"14036-AG010"</f>
        <v>14036-AG010</v>
      </c>
      <c r="B1210" t="str">
        <f>"S GASKET-EXH MA"</f>
        <v>S GASKET-EXH MA</v>
      </c>
      <c r="C1210">
        <v>19</v>
      </c>
      <c r="D1210">
        <v>870.26400000000001</v>
      </c>
    </row>
    <row r="1211" spans="1:4">
      <c r="A1211" t="str">
        <f>"14036-AR000"</f>
        <v>14036-AR000</v>
      </c>
      <c r="B1211" t="str">
        <f>"Прокладка выпускного"</f>
        <v>Прокладка выпускного</v>
      </c>
      <c r="C1211">
        <v>0</v>
      </c>
      <c r="D1211">
        <v>895.15200000000004</v>
      </c>
    </row>
    <row r="1212" spans="1:4">
      <c r="A1212" t="str">
        <f>"14036-BC000"</f>
        <v>14036-BC000</v>
      </c>
      <c r="B1212" t="str">
        <f>"GASKET-EXHAUST"</f>
        <v>GASKET-EXHAUST</v>
      </c>
      <c r="C1212">
        <v>5</v>
      </c>
      <c r="D1212">
        <v>353.32799999999997</v>
      </c>
    </row>
    <row r="1213" spans="1:4">
      <c r="A1213" t="str">
        <f>"14036-EA200"</f>
        <v>14036-EA200</v>
      </c>
      <c r="B1213" t="str">
        <f>"Прокладка выпускного"</f>
        <v>Прокладка выпускного</v>
      </c>
      <c r="C1213">
        <v>24</v>
      </c>
      <c r="D1213">
        <v>656.06399999999996</v>
      </c>
    </row>
    <row r="1214" spans="1:4">
      <c r="A1214" t="str">
        <f>"14036-EE000"</f>
        <v>14036-EE000</v>
      </c>
      <c r="B1214" t="str">
        <f>"Прокладка выпускного"</f>
        <v>Прокладка выпускного</v>
      </c>
      <c r="C1214">
        <v>20</v>
      </c>
      <c r="D1214">
        <v>854.35199999999998</v>
      </c>
    </row>
    <row r="1215" spans="1:4">
      <c r="A1215" t="str">
        <f>"14036-JA00A"</f>
        <v>14036-JA00A</v>
      </c>
      <c r="B1215" t="str">
        <f>"Прокладка коллектора"</f>
        <v>Прокладка коллектора</v>
      </c>
      <c r="C1215">
        <v>0</v>
      </c>
      <c r="D1215">
        <v>904.12800000000004</v>
      </c>
    </row>
    <row r="1216" spans="1:4">
      <c r="A1216" t="str">
        <f>"14036-VC200"</f>
        <v>14036-VC200</v>
      </c>
      <c r="B1216" t="str">
        <f>"S GASKET-EXH MA"</f>
        <v>S GASKET-EXH MA</v>
      </c>
      <c r="C1216">
        <v>2</v>
      </c>
      <c r="D1216">
        <v>885.76799999999992</v>
      </c>
    </row>
    <row r="1217" spans="1:4">
      <c r="A1217" t="str">
        <f>"14036-VC210"</f>
        <v>14036-VC210</v>
      </c>
      <c r="B1217" t="str">
        <f>"S GASKET-EXH MA"</f>
        <v>S GASKET-EXH MA</v>
      </c>
      <c r="C1217">
        <v>3</v>
      </c>
      <c r="D1217">
        <v>927.38400000000001</v>
      </c>
    </row>
    <row r="1218" spans="1:4">
      <c r="A1218" t="str">
        <f>"14036-VC300"</f>
        <v>14036-VC300</v>
      </c>
      <c r="B1218" t="str">
        <f>"S GASKET-EXH MA"</f>
        <v>S GASKET-EXH MA</v>
      </c>
      <c r="C1218">
        <v>22</v>
      </c>
      <c r="D1218">
        <v>886.58400000000006</v>
      </c>
    </row>
    <row r="1219" spans="1:4">
      <c r="A1219" t="str">
        <f>"14037-V5000"</f>
        <v>14037-V5000</v>
      </c>
      <c r="B1219" t="str">
        <f>"GSKT-EXH MANIF,"</f>
        <v>GSKT-EXH MANIF,</v>
      </c>
      <c r="C1219">
        <v>2</v>
      </c>
      <c r="D1219">
        <v>480.21600000000001</v>
      </c>
    </row>
    <row r="1220" spans="1:4">
      <c r="A1220" t="str">
        <f>"14037-W4800"</f>
        <v>14037-W4800</v>
      </c>
      <c r="B1220" t="str">
        <f>"WASHER-PLAIN"</f>
        <v>WASHER-PLAIN</v>
      </c>
      <c r="C1220">
        <v>6</v>
      </c>
      <c r="D1220">
        <v>25.295999999999996</v>
      </c>
    </row>
    <row r="1221" spans="1:4">
      <c r="A1221" t="str">
        <f>"14041-1AA1A"</f>
        <v>14041-1AA1A</v>
      </c>
      <c r="B1221" t="str">
        <f>"Кожух двигателя верх"</f>
        <v>Кожух двигателя верх</v>
      </c>
      <c r="C1221">
        <v>10</v>
      </c>
      <c r="D1221">
        <v>3918.8399999999997</v>
      </c>
    </row>
    <row r="1222" spans="1:4">
      <c r="A1222" t="str">
        <f>"14041-8J10A"</f>
        <v>14041-8J10A</v>
      </c>
      <c r="B1222" t="str">
        <f>"Кожух двигателя верх"</f>
        <v>Кожух двигателя верх</v>
      </c>
      <c r="C1222">
        <v>0</v>
      </c>
      <c r="D1222">
        <v>4222.8</v>
      </c>
    </row>
    <row r="1223" spans="1:4">
      <c r="A1223" t="str">
        <f>"14041-EC01A"</f>
        <v>14041-EC01A</v>
      </c>
      <c r="B1223" t="str">
        <f>"Кожух двигателя верх"</f>
        <v>Кожух двигателя верх</v>
      </c>
      <c r="C1223">
        <v>0</v>
      </c>
      <c r="D1223">
        <v>5640.192</v>
      </c>
    </row>
    <row r="1224" spans="1:4">
      <c r="A1224" t="str">
        <f>"14041-JE20A"</f>
        <v>14041-JE20A</v>
      </c>
      <c r="B1224" t="str">
        <f>"ORNAMENT ASSY-E"</f>
        <v>ORNAMENT ASSY-E</v>
      </c>
      <c r="C1224">
        <v>0</v>
      </c>
      <c r="D1224">
        <v>3568.7759999999998</v>
      </c>
    </row>
    <row r="1225" spans="1:4">
      <c r="A1225" t="str">
        <f>"14041-JG00A"</f>
        <v>14041-JG00A</v>
      </c>
      <c r="B1225" t="str">
        <f>"Кожух двигателя"</f>
        <v>Кожух двигателя</v>
      </c>
      <c r="C1225">
        <v>1</v>
      </c>
      <c r="D1225">
        <v>3355.3919999999998</v>
      </c>
    </row>
    <row r="1226" spans="1:4">
      <c r="A1226" t="str">
        <f>"14052-40L00"</f>
        <v>14052-40L00</v>
      </c>
      <c r="B1226" t="str">
        <f>"ЗАГЛУШКА"</f>
        <v>ЗАГЛУШКА</v>
      </c>
      <c r="C1226">
        <v>1</v>
      </c>
      <c r="D1226">
        <v>148.512</v>
      </c>
    </row>
    <row r="1227" spans="1:4">
      <c r="A1227" t="str">
        <f>"14055-53Y05"</f>
        <v>14055-53Y05</v>
      </c>
      <c r="B1227" t="str">
        <f>"HOSE-WATER"</f>
        <v>HOSE-WATER</v>
      </c>
      <c r="C1227">
        <v>6</v>
      </c>
      <c r="D1227">
        <v>313.75199999999995</v>
      </c>
    </row>
    <row r="1228" spans="1:4">
      <c r="A1228" t="str">
        <f>"14064-0M30A"</f>
        <v>14064-0M30A</v>
      </c>
      <c r="B1228" t="str">
        <f>"Шпилька коллекто"</f>
        <v>Шпилька коллекто</v>
      </c>
      <c r="C1228">
        <v>10</v>
      </c>
      <c r="D1228">
        <v>48.959999999999994</v>
      </c>
    </row>
    <row r="1229" spans="1:4">
      <c r="A1229" t="str">
        <f>"14064-31U0C"</f>
        <v>14064-31U0C</v>
      </c>
      <c r="B1229" t="str">
        <f>"Шпилька коллекто"</f>
        <v>Шпилька коллекто</v>
      </c>
      <c r="C1229">
        <v>44</v>
      </c>
      <c r="D1229">
        <v>75.888000000000005</v>
      </c>
    </row>
    <row r="1230" spans="1:4">
      <c r="A1230" t="str">
        <f>"14064-31U1A"</f>
        <v>14064-31U1A</v>
      </c>
      <c r="B1230" t="str">
        <f>"Шпилька коллекто"</f>
        <v>Шпилька коллекто</v>
      </c>
      <c r="C1230">
        <v>0</v>
      </c>
      <c r="D1230">
        <v>93.432000000000002</v>
      </c>
    </row>
    <row r="1231" spans="1:4">
      <c r="A1231" t="str">
        <f>"14064-58Y0A"</f>
        <v>14064-58Y0A</v>
      </c>
      <c r="B1231" t="str">
        <f>"Шпилька коллекто"</f>
        <v>Шпилька коллекто</v>
      </c>
      <c r="C1231">
        <v>30</v>
      </c>
      <c r="D1231">
        <v>73.44</v>
      </c>
    </row>
    <row r="1232" spans="1:4">
      <c r="A1232" t="str">
        <f>"14064-H5002"</f>
        <v>14064-H5002</v>
      </c>
      <c r="B1232" t="str">
        <f>"STUD"</f>
        <v>STUD</v>
      </c>
      <c r="C1232">
        <v>1</v>
      </c>
      <c r="D1232">
        <v>20.399999999999999</v>
      </c>
    </row>
    <row r="1233" spans="1:4">
      <c r="A1233" t="str">
        <f>"14064-JG30A"</f>
        <v>14064-JG30A</v>
      </c>
      <c r="B1233" t="str">
        <f>"Шпилька коллекто"</f>
        <v>Шпилька коллекто</v>
      </c>
      <c r="C1233">
        <v>39</v>
      </c>
      <c r="D1233">
        <v>70.99199999999999</v>
      </c>
    </row>
    <row r="1234" spans="1:4">
      <c r="A1234" t="str">
        <f>"14064-JG30B"</f>
        <v>14064-JG30B</v>
      </c>
      <c r="B1234" t="str">
        <f>"Шпилька коллекто"</f>
        <v>Шпилька коллекто</v>
      </c>
      <c r="C1234">
        <v>31</v>
      </c>
      <c r="D1234">
        <v>56.304000000000002</v>
      </c>
    </row>
    <row r="1235" spans="1:4">
      <c r="A1235" t="str">
        <f>"14069-JD00A"</f>
        <v>14069-JD00A</v>
      </c>
      <c r="B1235" t="str">
        <f>"Болт коллектора"</f>
        <v>Болт коллектора</v>
      </c>
      <c r="C1235">
        <v>0</v>
      </c>
      <c r="D1235">
        <v>36.72</v>
      </c>
    </row>
    <row r="1236" spans="1:4">
      <c r="A1236" t="str">
        <f>"14070-53Y00"</f>
        <v>14070-53Y00</v>
      </c>
      <c r="B1236" t="str">
        <f>"STUD-EXH MANIF"</f>
        <v>STUD-EXH MANIF</v>
      </c>
      <c r="C1236">
        <v>0</v>
      </c>
      <c r="D1236">
        <v>76.295999999999992</v>
      </c>
    </row>
    <row r="1237" spans="1:4">
      <c r="A1237" t="str">
        <f>"14094-4P110"</f>
        <v>14094-4P110</v>
      </c>
      <c r="B1237" t="str">
        <f>"NUT"</f>
        <v>NUT</v>
      </c>
      <c r="C1237">
        <v>14</v>
      </c>
      <c r="D1237">
        <v>75.072000000000003</v>
      </c>
    </row>
    <row r="1238" spans="1:4">
      <c r="A1238" t="str">
        <f>"14094-JD00A"</f>
        <v>14094-JD00A</v>
      </c>
      <c r="B1238" t="str">
        <f>"Гайка выпускного кол"</f>
        <v>Гайка выпускного кол</v>
      </c>
      <c r="C1238">
        <v>0</v>
      </c>
      <c r="D1238">
        <v>25.704000000000001</v>
      </c>
    </row>
    <row r="1239" spans="1:4">
      <c r="A1239" t="str">
        <f>"14094-JG30A"</f>
        <v>14094-JG30A</v>
      </c>
      <c r="B1239" t="str">
        <f>"Гайка выпускного кол"</f>
        <v>Гайка выпускного кол</v>
      </c>
      <c r="C1239">
        <v>0</v>
      </c>
      <c r="D1239">
        <v>26.928000000000001</v>
      </c>
    </row>
    <row r="1240" spans="1:4">
      <c r="A1240" t="str">
        <f>"14327-2W201"</f>
        <v>14327-2W201</v>
      </c>
      <c r="B1240" t="str">
        <f>"GASKET"</f>
        <v>GASKET</v>
      </c>
      <c r="C1240">
        <v>18</v>
      </c>
      <c r="D1240">
        <v>197.47200000000001</v>
      </c>
    </row>
    <row r="1241" spans="1:4">
      <c r="A1241" t="str">
        <f>"14401-8H826"</f>
        <v>14401-8H826</v>
      </c>
      <c r="B1241" t="str">
        <f>"GASKET KIT-TURB"</f>
        <v>GASKET KIT-TURB</v>
      </c>
      <c r="C1241">
        <v>6</v>
      </c>
      <c r="D1241">
        <v>1157.4960000000001</v>
      </c>
    </row>
    <row r="1242" spans="1:4">
      <c r="A1242" t="str">
        <f>"14401-BN026"</f>
        <v>14401-BN026</v>
      </c>
      <c r="B1242" t="str">
        <f>"Прокладки турбины к-"</f>
        <v>Прокладки турбины к-</v>
      </c>
      <c r="C1242">
        <v>10</v>
      </c>
      <c r="D1242">
        <v>1714.4159999999999</v>
      </c>
    </row>
    <row r="1243" spans="1:4">
      <c r="A1243" t="str">
        <f>"14411-2X90A"</f>
        <v>14411-2X90A</v>
      </c>
      <c r="B1243" t="str">
        <f>"Турбонагнетатель"</f>
        <v>Турбонагнетатель</v>
      </c>
      <c r="C1243">
        <v>22</v>
      </c>
      <c r="D1243">
        <v>48799.248</v>
      </c>
    </row>
    <row r="1244" spans="1:4">
      <c r="A1244" t="str">
        <f>"14411-7F400"</f>
        <v>14411-7F400</v>
      </c>
      <c r="B1244" t="str">
        <f>"TURBOCHARGER"</f>
        <v>TURBOCHARGER</v>
      </c>
      <c r="C1244">
        <v>3</v>
      </c>
      <c r="D1244">
        <v>53360.687999999995</v>
      </c>
    </row>
    <row r="1245" spans="1:4">
      <c r="A1245" t="str">
        <f>"14411-AW40A"</f>
        <v>14411-AW40A</v>
      </c>
      <c r="B1245" t="str">
        <f>"Турбонагнетатель"</f>
        <v>Турбонагнетатель</v>
      </c>
      <c r="C1245">
        <v>2</v>
      </c>
      <c r="D1245">
        <v>49892.687999999995</v>
      </c>
    </row>
    <row r="1246" spans="1:4">
      <c r="A1246" t="str">
        <f>"14411-EB300"</f>
        <v>14411-EB300</v>
      </c>
      <c r="B1246" t="str">
        <f>"Турбонагнетатель"</f>
        <v>Турбонагнетатель</v>
      </c>
      <c r="C1246">
        <v>6</v>
      </c>
      <c r="D1246">
        <v>57865.007999999994</v>
      </c>
    </row>
    <row r="1247" spans="1:4">
      <c r="A1247" t="str">
        <f>"14411-VB301"</f>
        <v>14411-VB301</v>
      </c>
      <c r="B1247" t="str">
        <f>"A CHARGER TURBO"</f>
        <v>A CHARGER TURBO</v>
      </c>
      <c r="C1247">
        <v>5</v>
      </c>
      <c r="D1247">
        <v>49428.383999999998</v>
      </c>
    </row>
    <row r="1248" spans="1:4">
      <c r="A1248" t="str">
        <f>"14414-2W202"</f>
        <v>14414-2W202</v>
      </c>
      <c r="B1248" t="str">
        <f>"STUD-TURBO HSG"</f>
        <v>STUD-TURBO HSG</v>
      </c>
      <c r="C1248">
        <v>17</v>
      </c>
      <c r="D1248">
        <v>105.672</v>
      </c>
    </row>
    <row r="1249" spans="1:4">
      <c r="A1249" t="str">
        <f>"14414-2W203"</f>
        <v>14414-2W203</v>
      </c>
      <c r="B1249" t="str">
        <f>"STUD-COMPRESSOR"</f>
        <v>STUD-COMPRESSOR</v>
      </c>
      <c r="C1249">
        <v>20</v>
      </c>
      <c r="D1249">
        <v>181.56</v>
      </c>
    </row>
    <row r="1250" spans="1:4">
      <c r="A1250" t="str">
        <f>"14415-17M00"</f>
        <v>14415-17M00</v>
      </c>
      <c r="B1250" t="str">
        <f>"GSKT-T/C IN"</f>
        <v>GSKT-T/C IN</v>
      </c>
      <c r="C1250">
        <v>1</v>
      </c>
      <c r="D1250">
        <v>350.87999999999994</v>
      </c>
    </row>
    <row r="1251" spans="1:4">
      <c r="A1251" t="str">
        <f>"14415-2W20A"</f>
        <v>14415-2W20A</v>
      </c>
      <c r="B1251" t="str">
        <f>"Прокладка турбин"</f>
        <v>Прокладка турбин</v>
      </c>
      <c r="C1251">
        <v>27</v>
      </c>
      <c r="D1251">
        <v>456.14400000000001</v>
      </c>
    </row>
    <row r="1252" spans="1:4">
      <c r="A1252" t="str">
        <f>"14415-5M300"</f>
        <v>14415-5M300</v>
      </c>
      <c r="B1252" t="str">
        <f>"GSKT-T/C IN"</f>
        <v>GSKT-T/C IN</v>
      </c>
      <c r="C1252">
        <v>15</v>
      </c>
      <c r="D1252">
        <v>328.44</v>
      </c>
    </row>
    <row r="1253" spans="1:4">
      <c r="A1253" t="str">
        <f>"14415-AU600"</f>
        <v>14415-AU600</v>
      </c>
      <c r="B1253" t="str">
        <f>"Прокладка турбин"</f>
        <v>Прокладка турбин</v>
      </c>
      <c r="C1253">
        <v>6</v>
      </c>
      <c r="D1253">
        <v>881.68799999999999</v>
      </c>
    </row>
    <row r="1254" spans="1:4">
      <c r="A1254" t="str">
        <f>"14415-VB300"</f>
        <v>14415-VB300</v>
      </c>
      <c r="B1254" t="str">
        <f>"GSKT-T/C IN"</f>
        <v>GSKT-T/C IN</v>
      </c>
      <c r="C1254">
        <v>11</v>
      </c>
      <c r="D1254">
        <v>478.58399999999995</v>
      </c>
    </row>
    <row r="1255" spans="1:4">
      <c r="A1255" t="str">
        <f>"14416-5X00A"</f>
        <v>14416-5X00A</v>
      </c>
      <c r="B1255" t="str">
        <f>"Шпилька крепления ту"</f>
        <v>Шпилька крепления ту</v>
      </c>
      <c r="C1255">
        <v>34</v>
      </c>
      <c r="D1255">
        <v>100.776</v>
      </c>
    </row>
    <row r="1256" spans="1:4">
      <c r="A1256" t="str">
        <f>"14445-26E00"</f>
        <v>14445-26E00</v>
      </c>
      <c r="B1256" t="str">
        <f>"GASKET-TURBO CH"</f>
        <v>GASKET-TURBO CH</v>
      </c>
      <c r="C1256">
        <v>5</v>
      </c>
      <c r="D1256">
        <v>432.47999999999996</v>
      </c>
    </row>
    <row r="1257" spans="1:4">
      <c r="A1257" t="str">
        <f>"14445-2W20A"</f>
        <v>14445-2W20A</v>
      </c>
      <c r="B1257" t="str">
        <f>"Прокладка турбин"</f>
        <v>Прокладка турбин</v>
      </c>
      <c r="C1257">
        <v>40</v>
      </c>
      <c r="D1257">
        <v>458.59200000000004</v>
      </c>
    </row>
    <row r="1258" spans="1:4">
      <c r="A1258" t="str">
        <f>"14445-31N01"</f>
        <v>14445-31N01</v>
      </c>
      <c r="B1258" t="str">
        <f>"GASKET-TURBO CH"</f>
        <v>GASKET-TURBO CH</v>
      </c>
      <c r="C1258">
        <v>7</v>
      </c>
      <c r="D1258">
        <v>436.15199999999999</v>
      </c>
    </row>
    <row r="1259" spans="1:4">
      <c r="A1259" t="str">
        <f>"14445-AD200"</f>
        <v>14445-AD200</v>
      </c>
      <c r="B1259" t="str">
        <f>"GASKET-TURBO CH"</f>
        <v>GASKET-TURBO CH</v>
      </c>
      <c r="C1259">
        <v>12</v>
      </c>
      <c r="D1259">
        <v>402.28800000000001</v>
      </c>
    </row>
    <row r="1260" spans="1:4">
      <c r="A1260" t="str">
        <f>"14445-EB300"</f>
        <v>14445-EB300</v>
      </c>
      <c r="B1260" t="str">
        <f>"Прокладка турбин"</f>
        <v>Прокладка турбин</v>
      </c>
      <c r="C1260">
        <v>1</v>
      </c>
      <c r="D1260">
        <v>289.27199999999999</v>
      </c>
    </row>
    <row r="1261" spans="1:4">
      <c r="A1261" t="str">
        <f>"14445-VB300"</f>
        <v>14445-VB300</v>
      </c>
      <c r="B1261" t="str">
        <f>"GASKET-TURBO CH"</f>
        <v>GASKET-TURBO CH</v>
      </c>
      <c r="C1261">
        <v>4</v>
      </c>
      <c r="D1261">
        <v>473.68799999999999</v>
      </c>
    </row>
    <row r="1262" spans="1:4">
      <c r="A1262" t="str">
        <f>"14461-1KC0A"</f>
        <v>14461-1KC0A</v>
      </c>
      <c r="B1262" t="str">
        <f>"Интеркуллер"</f>
        <v>Интеркуллер</v>
      </c>
      <c r="C1262">
        <v>0</v>
      </c>
      <c r="D1262">
        <v>21484.464</v>
      </c>
    </row>
    <row r="1263" spans="1:4">
      <c r="A1263" t="str">
        <f>"14461-EB360"</f>
        <v>14461-EB360</v>
      </c>
      <c r="B1263" t="str">
        <f>"Радиатор охл. турбин"</f>
        <v>Радиатор охл. турбин</v>
      </c>
      <c r="C1263">
        <v>12</v>
      </c>
      <c r="D1263">
        <v>21598.296000000002</v>
      </c>
    </row>
    <row r="1264" spans="1:4">
      <c r="A1264" t="str">
        <f>"14461-VC10A"</f>
        <v>14461-VC10A</v>
      </c>
      <c r="B1264" t="str">
        <f>"Радиатор охл. турбин"</f>
        <v>Радиатор охл. турбин</v>
      </c>
      <c r="C1264">
        <v>14</v>
      </c>
      <c r="D1264">
        <v>28194.432000000001</v>
      </c>
    </row>
    <row r="1265" spans="1:4">
      <c r="A1265" t="str">
        <f>"14463-EB30A"</f>
        <v>14463-EB30A</v>
      </c>
      <c r="B1265" t="str">
        <f>"Патрубок воздушн"</f>
        <v>Патрубок воздушн</v>
      </c>
      <c r="C1265">
        <v>0</v>
      </c>
      <c r="D1265">
        <v>1930.6559999999999</v>
      </c>
    </row>
    <row r="1266" spans="1:4">
      <c r="A1266" t="str">
        <f>"14463-EB316"</f>
        <v>14463-EB316</v>
      </c>
      <c r="B1266" t="str">
        <f>"Патрубок воздушн"</f>
        <v>Патрубок воздушн</v>
      </c>
      <c r="C1266">
        <v>0</v>
      </c>
      <c r="D1266">
        <v>1483.896</v>
      </c>
    </row>
    <row r="1267" spans="1:4">
      <c r="A1267" t="str">
        <f>"14465-2W200"</f>
        <v>14465-2W200</v>
      </c>
      <c r="B1267" t="str">
        <f>"GASKET"</f>
        <v>GASKET</v>
      </c>
      <c r="C1267">
        <v>4</v>
      </c>
      <c r="D1267">
        <v>86.903999999999996</v>
      </c>
    </row>
    <row r="1268" spans="1:4">
      <c r="A1268" t="str">
        <f>"14465-31N01"</f>
        <v>14465-31N01</v>
      </c>
      <c r="B1268" t="str">
        <f>"GASKET-INLET TU"</f>
        <v>GASKET-INLET TU</v>
      </c>
      <c r="C1268">
        <v>5</v>
      </c>
      <c r="D1268">
        <v>54.672000000000004</v>
      </c>
    </row>
    <row r="1269" spans="1:4">
      <c r="A1269" t="str">
        <f>"14465-43G02"</f>
        <v>14465-43G02</v>
      </c>
      <c r="B1269" t="str">
        <f>"SEAL-O RING"</f>
        <v>SEAL-O RING</v>
      </c>
      <c r="C1269">
        <v>31</v>
      </c>
      <c r="D1269">
        <v>151.36799999999999</v>
      </c>
    </row>
    <row r="1270" spans="1:4">
      <c r="A1270" t="str">
        <f>"14465-4P200"</f>
        <v>14465-4P200</v>
      </c>
      <c r="B1270" t="str">
        <f>"GASKET-INLET TU"</f>
        <v>GASKET-INLET TU</v>
      </c>
      <c r="C1270">
        <v>21</v>
      </c>
      <c r="D1270">
        <v>62.015999999999998</v>
      </c>
    </row>
    <row r="1271" spans="1:4">
      <c r="A1271" t="str">
        <f>"14465-4P210"</f>
        <v>14465-4P210</v>
      </c>
      <c r="B1271" t="str">
        <f>"GASKET"</f>
        <v>GASKET</v>
      </c>
      <c r="C1271">
        <v>40</v>
      </c>
      <c r="D1271">
        <v>86.495999999999995</v>
      </c>
    </row>
    <row r="1272" spans="1:4">
      <c r="A1272" t="str">
        <f>"14465-AD200"</f>
        <v>14465-AD200</v>
      </c>
      <c r="B1272" t="str">
        <f>"GASKET-INLET TU"</f>
        <v>GASKET-INLET TU</v>
      </c>
      <c r="C1272">
        <v>2</v>
      </c>
      <c r="D1272">
        <v>60.791999999999994</v>
      </c>
    </row>
    <row r="1273" spans="1:4">
      <c r="A1273" t="str">
        <f>"14465-EB300"</f>
        <v>14465-EB300</v>
      </c>
      <c r="B1273" t="str">
        <f>"Прокладка турбин"</f>
        <v>Прокладка турбин</v>
      </c>
      <c r="C1273">
        <v>6</v>
      </c>
      <c r="D1273">
        <v>57.936</v>
      </c>
    </row>
    <row r="1274" spans="1:4">
      <c r="A1274" t="str">
        <f>"14465-VC100"</f>
        <v>14465-VC100</v>
      </c>
      <c r="B1274" t="str">
        <f>"GASKET"</f>
        <v>GASKET</v>
      </c>
      <c r="C1274">
        <v>2</v>
      </c>
      <c r="D1274">
        <v>93.432000000000002</v>
      </c>
    </row>
    <row r="1275" spans="1:4">
      <c r="A1275" t="str">
        <f>"14468-VC101"</f>
        <v>14468-VC101</v>
      </c>
      <c r="B1275" t="str">
        <f>"HOSE-SUCT AIR"</f>
        <v>HOSE-SUCT AIR</v>
      </c>
      <c r="C1275">
        <v>4</v>
      </c>
      <c r="D1275">
        <v>3412.9199999999996</v>
      </c>
    </row>
    <row r="1276" spans="1:4">
      <c r="A1276" t="str">
        <f>"14468-VC103"</f>
        <v>14468-VC103</v>
      </c>
      <c r="B1276" t="str">
        <f>"HOSE-SUCT AIR"</f>
        <v>HOSE-SUCT AIR</v>
      </c>
      <c r="C1276">
        <v>7</v>
      </c>
      <c r="D1276">
        <v>2912.3040000000001</v>
      </c>
    </row>
    <row r="1277" spans="1:4">
      <c r="A1277" t="str">
        <f>"14468-VC104"</f>
        <v>14468-VC104</v>
      </c>
      <c r="B1277" t="str">
        <f>"HOSE-SUCTION AI"</f>
        <v>HOSE-SUCTION AI</v>
      </c>
      <c r="C1277">
        <v>3</v>
      </c>
      <c r="D1277">
        <v>2909.0399999999995</v>
      </c>
    </row>
    <row r="1278" spans="1:4">
      <c r="A1278" t="str">
        <f>"14650-VB101"</f>
        <v>14650-VB101</v>
      </c>
      <c r="B1278" t="str">
        <f>"PUMP ASSY-VACUM"</f>
        <v>PUMP ASSY-VACUM</v>
      </c>
      <c r="C1278">
        <v>0</v>
      </c>
      <c r="D1278">
        <v>13387.704</v>
      </c>
    </row>
    <row r="1279" spans="1:4">
      <c r="A1279" t="str">
        <f>"14661-AD205"</f>
        <v>14661-AD205</v>
      </c>
      <c r="B1279" t="str">
        <f>"SEAL-O RING"</f>
        <v>SEAL-O RING</v>
      </c>
      <c r="C1279">
        <v>10</v>
      </c>
      <c r="D1279">
        <v>54.672000000000004</v>
      </c>
    </row>
    <row r="1280" spans="1:4">
      <c r="A1280" t="str">
        <f>"14710-2W20B"</f>
        <v>14710-2W20B</v>
      </c>
      <c r="B1280" t="str">
        <f>"Клапан рециркуляции "</f>
        <v xml:space="preserve">Клапан рециркуляции </v>
      </c>
      <c r="C1280">
        <v>5</v>
      </c>
      <c r="D1280">
        <v>9059.232</v>
      </c>
    </row>
    <row r="1281" spans="1:4">
      <c r="A1281" t="str">
        <f>"14719-AD200"</f>
        <v>14719-AD200</v>
      </c>
      <c r="B1281" t="str">
        <f>"GASKET-EGR C/V"</f>
        <v>GASKET-EGR C/V</v>
      </c>
      <c r="C1281">
        <v>7</v>
      </c>
      <c r="D1281">
        <v>87.719999999999985</v>
      </c>
    </row>
    <row r="1282" spans="1:4">
      <c r="A1282" t="str">
        <f>"14719-VC100"</f>
        <v>14719-VC100</v>
      </c>
      <c r="B1282" t="str">
        <f>"GASKET-EGR C/V"</f>
        <v>GASKET-EGR C/V</v>
      </c>
      <c r="C1282">
        <v>15</v>
      </c>
      <c r="D1282">
        <v>88.536000000000001</v>
      </c>
    </row>
    <row r="1283" spans="1:4">
      <c r="A1283" t="str">
        <f>"14719-VC110"</f>
        <v>14719-VC110</v>
      </c>
      <c r="B1283" t="str">
        <f>"GASKET-EGR TUBE"</f>
        <v>GASKET-EGR TUBE</v>
      </c>
      <c r="C1283">
        <v>8</v>
      </c>
      <c r="D1283">
        <v>123.624</v>
      </c>
    </row>
    <row r="1284" spans="1:4">
      <c r="A1284" t="str">
        <f>"14722-38U01"</f>
        <v>14722-38U01</v>
      </c>
      <c r="B1284" t="str">
        <f>"GASKET-EGR TUBE"</f>
        <v>GASKET-EGR TUBE</v>
      </c>
      <c r="C1284">
        <v>8</v>
      </c>
      <c r="D1284">
        <v>106.896</v>
      </c>
    </row>
    <row r="1285" spans="1:4">
      <c r="A1285" t="str">
        <f>"14722-8H800"</f>
        <v>14722-8H800</v>
      </c>
      <c r="B1285" t="str">
        <f>"GASKET-EGR TUBE"</f>
        <v>GASKET-EGR TUBE</v>
      </c>
      <c r="C1285">
        <v>19</v>
      </c>
      <c r="D1285">
        <v>112.608</v>
      </c>
    </row>
    <row r="1286" spans="1:4">
      <c r="A1286" t="str">
        <f>"14722-AD200"</f>
        <v>14722-AD200</v>
      </c>
      <c r="B1286" t="str">
        <f>"GASKET-EGR TUBE"</f>
        <v>GASKET-EGR TUBE</v>
      </c>
      <c r="C1286">
        <v>20</v>
      </c>
      <c r="D1286">
        <v>114.64800000000001</v>
      </c>
    </row>
    <row r="1287" spans="1:4">
      <c r="A1287" t="str">
        <f>"14722-AD210"</f>
        <v>14722-AD210</v>
      </c>
      <c r="B1287" t="str">
        <f>"GASKET-EGR TUBE"</f>
        <v>GASKET-EGR TUBE</v>
      </c>
      <c r="C1287">
        <v>11</v>
      </c>
      <c r="D1287">
        <v>112.608</v>
      </c>
    </row>
    <row r="1288" spans="1:4">
      <c r="A1288" t="str">
        <f>"14735-EB30B"</f>
        <v>14735-EB30B</v>
      </c>
      <c r="B1288" t="str">
        <f>"Охладитель"</f>
        <v>Охладитель</v>
      </c>
      <c r="C1288">
        <v>0</v>
      </c>
      <c r="D1288">
        <v>12370.56</v>
      </c>
    </row>
    <row r="1289" spans="1:4">
      <c r="A1289" t="str">
        <f>"14930-9E01A"</f>
        <v>14930-9E01A</v>
      </c>
      <c r="B1289" t="str">
        <f>"Клапан впускного кол"</f>
        <v>Клапан впускного кол</v>
      </c>
      <c r="C1289">
        <v>0</v>
      </c>
      <c r="D1289">
        <v>3426.7919999999999</v>
      </c>
    </row>
    <row r="1290" spans="1:4">
      <c r="A1290" t="str">
        <f>"14950-6N208"</f>
        <v>14950-6N208</v>
      </c>
      <c r="B1290" t="str">
        <f>"CANISTER EVAPO"</f>
        <v>CANISTER EVAPO</v>
      </c>
      <c r="C1290">
        <v>13</v>
      </c>
      <c r="D1290">
        <v>3289.2959999999998</v>
      </c>
    </row>
    <row r="1291" spans="1:4">
      <c r="A1291" t="str">
        <f>"14956-38U1A"</f>
        <v>14956-38U1A</v>
      </c>
      <c r="B1291" t="str">
        <f>"Клапан электромагнит"</f>
        <v>Клапан электромагнит</v>
      </c>
      <c r="C1291">
        <v>8</v>
      </c>
      <c r="D1291">
        <v>2528.7840000000001</v>
      </c>
    </row>
    <row r="1292" spans="1:4">
      <c r="A1292" t="str">
        <f>"14956-AD20A"</f>
        <v>14956-AD20A</v>
      </c>
      <c r="B1292" t="str">
        <f>"Клапан ваккумной сис"</f>
        <v>Клапан ваккумной сис</v>
      </c>
      <c r="C1292">
        <v>7</v>
      </c>
      <c r="D1292">
        <v>3919.2479999999996</v>
      </c>
    </row>
    <row r="1293" spans="1:4">
      <c r="A1293" t="str">
        <f>"14956-EB70B"</f>
        <v>14956-EB70B</v>
      </c>
      <c r="B1293" t="str">
        <f>"Клапан ваккумной сис"</f>
        <v>Клапан ваккумной сис</v>
      </c>
      <c r="C1293">
        <v>0</v>
      </c>
      <c r="D1293">
        <v>2548.3679999999999</v>
      </c>
    </row>
    <row r="1294" spans="1:4">
      <c r="A1294" t="str">
        <f>"15010-22J03"</f>
        <v>15010-22J03</v>
      </c>
      <c r="B1294" t="str">
        <f>"ASSY OIL PUMP"</f>
        <v>ASSY OIL PUMP</v>
      </c>
      <c r="C1294">
        <v>10</v>
      </c>
      <c r="D1294">
        <v>7814.424</v>
      </c>
    </row>
    <row r="1295" spans="1:4">
      <c r="A1295" t="str">
        <f>"15010-40F0A"</f>
        <v>15010-40F0A</v>
      </c>
      <c r="B1295" t="str">
        <f>"Насос подачи мас"</f>
        <v>Насос подачи мас</v>
      </c>
      <c r="C1295">
        <v>7</v>
      </c>
      <c r="D1295">
        <v>2873.5439999999999</v>
      </c>
    </row>
    <row r="1296" spans="1:4">
      <c r="A1296" t="str">
        <f>"15010-43U0B"</f>
        <v>15010-43U0B</v>
      </c>
      <c r="B1296" t="str">
        <f>"Насос подачи мас"</f>
        <v>Насос подачи мас</v>
      </c>
      <c r="C1296">
        <v>4</v>
      </c>
      <c r="D1296">
        <v>5759.3279999999995</v>
      </c>
    </row>
    <row r="1297" spans="1:4">
      <c r="A1297" t="str">
        <f>"15010-8J10A"</f>
        <v>15010-8J10A</v>
      </c>
      <c r="B1297" t="str">
        <f>"Насос подачи мас"</f>
        <v>Насос подачи мас</v>
      </c>
      <c r="C1297">
        <v>9</v>
      </c>
      <c r="D1297">
        <v>5834.4</v>
      </c>
    </row>
    <row r="1298" spans="1:4">
      <c r="A1298" t="str">
        <f>"15010-EB70A"</f>
        <v>15010-EB70A</v>
      </c>
      <c r="B1298" t="str">
        <f>"Насос подачи мас"</f>
        <v>Насос подачи мас</v>
      </c>
      <c r="C1298">
        <v>7</v>
      </c>
      <c r="D1298">
        <v>4182.4080000000004</v>
      </c>
    </row>
    <row r="1299" spans="1:4">
      <c r="A1299" t="str">
        <f>"15010-JK20D"</f>
        <v>15010-JK20D</v>
      </c>
      <c r="B1299" t="str">
        <f>"Насос масла"</f>
        <v>Насос масла</v>
      </c>
      <c r="C1299">
        <v>0</v>
      </c>
      <c r="D1299">
        <v>5828.28</v>
      </c>
    </row>
    <row r="1300" spans="1:4">
      <c r="A1300" t="str">
        <f>"15010-VB302"</f>
        <v>15010-VB302</v>
      </c>
      <c r="B1300" t="str">
        <f>"ASSY OIL PUMP"</f>
        <v>ASSY OIL PUMP</v>
      </c>
      <c r="C1300">
        <v>5</v>
      </c>
      <c r="D1300">
        <v>6645.5039999999999</v>
      </c>
    </row>
    <row r="1301" spans="1:4">
      <c r="A1301" t="str">
        <f>"15041-6N215"</f>
        <v>15041-6N215</v>
      </c>
      <c r="B1301" t="str">
        <f>"CHAIN-BALANCER"</f>
        <v>CHAIN-BALANCER</v>
      </c>
      <c r="C1301">
        <v>15</v>
      </c>
      <c r="D1301">
        <v>770.71199999999999</v>
      </c>
    </row>
    <row r="1302" spans="1:4">
      <c r="A1302" t="str">
        <f>"15041-EN20A"</f>
        <v>15041-EN20A</v>
      </c>
      <c r="B1302" t="str">
        <f>"Цепь двигателя балан"</f>
        <v>Цепь двигателя балан</v>
      </c>
      <c r="C1302">
        <v>0</v>
      </c>
      <c r="D1302">
        <v>458.59200000000004</v>
      </c>
    </row>
    <row r="1303" spans="1:4">
      <c r="A1303" t="str">
        <f>"15053-2F200"</f>
        <v>15053-2F200</v>
      </c>
      <c r="B1303" t="str">
        <f>"GASKET-OIL STRA"</f>
        <v>GASKET-OIL STRA</v>
      </c>
      <c r="C1303">
        <v>8</v>
      </c>
      <c r="D1303">
        <v>48.143999999999998</v>
      </c>
    </row>
    <row r="1304" spans="1:4">
      <c r="A1304" t="str">
        <f>"15056-2W203"</f>
        <v>15056-2W203</v>
      </c>
      <c r="B1304" t="str">
        <f>"SEAL-O RING"</f>
        <v>SEAL-O RING</v>
      </c>
      <c r="C1304">
        <v>28</v>
      </c>
      <c r="D1304">
        <v>82.823999999999998</v>
      </c>
    </row>
    <row r="1305" spans="1:4">
      <c r="A1305" t="str">
        <f>"15066-1S701"</f>
        <v>15066-1S701</v>
      </c>
      <c r="B1305" t="str">
        <f>"RING-O"</f>
        <v>RING-O</v>
      </c>
      <c r="C1305">
        <v>23</v>
      </c>
      <c r="D1305">
        <v>101.18399999999998</v>
      </c>
    </row>
    <row r="1306" spans="1:4">
      <c r="A1306" t="str">
        <f>"15066-1S710"</f>
        <v>15066-1S710</v>
      </c>
      <c r="B1306" t="str">
        <f>"RING-O"</f>
        <v>RING-O</v>
      </c>
      <c r="C1306">
        <v>5</v>
      </c>
      <c r="D1306">
        <v>108.52799999999999</v>
      </c>
    </row>
    <row r="1307" spans="1:4">
      <c r="A1307" t="str">
        <f>"15066-21001"</f>
        <v>15066-21001</v>
      </c>
      <c r="B1307" t="str">
        <f>"GASKET-OIL PUMP"</f>
        <v>GASKET-OIL PUMP</v>
      </c>
      <c r="C1307">
        <v>18</v>
      </c>
      <c r="D1307">
        <v>11.423999999999999</v>
      </c>
    </row>
    <row r="1308" spans="1:4">
      <c r="A1308" t="str">
        <f>"15066-31U02"</f>
        <v>15066-31U02</v>
      </c>
      <c r="B1308" t="str">
        <f>"RING-O"</f>
        <v>RING-O</v>
      </c>
      <c r="C1308">
        <v>33</v>
      </c>
      <c r="D1308">
        <v>114.64800000000001</v>
      </c>
    </row>
    <row r="1309" spans="1:4">
      <c r="A1309" t="str">
        <f>"15066-31U03"</f>
        <v>15066-31U03</v>
      </c>
      <c r="B1309" t="str">
        <f>"RING-O"</f>
        <v>RING-O</v>
      </c>
      <c r="C1309">
        <v>9</v>
      </c>
      <c r="D1309">
        <v>105.672</v>
      </c>
    </row>
    <row r="1310" spans="1:4">
      <c r="A1310" t="str">
        <f>"15066-5E510"</f>
        <v>15066-5E510</v>
      </c>
      <c r="B1310" t="str">
        <f>"O RING"</f>
        <v>O RING</v>
      </c>
      <c r="C1310">
        <v>60</v>
      </c>
      <c r="D1310">
        <v>104.04</v>
      </c>
    </row>
    <row r="1311" spans="1:4">
      <c r="A1311" t="str">
        <f>"15066-6N201"</f>
        <v>15066-6N201</v>
      </c>
      <c r="B1311" t="str">
        <f>"SEAL-OIL LEVEL"</f>
        <v>SEAL-OIL LEVEL</v>
      </c>
      <c r="C1311">
        <v>16</v>
      </c>
      <c r="D1311">
        <v>124.848</v>
      </c>
    </row>
    <row r="1312" spans="1:4">
      <c r="A1312" t="str">
        <f>"15066-6N202"</f>
        <v>15066-6N202</v>
      </c>
      <c r="B1312" t="str">
        <f>"SEAL-O RING"</f>
        <v>SEAL-O RING</v>
      </c>
      <c r="C1312">
        <v>14</v>
      </c>
      <c r="D1312">
        <v>107.712</v>
      </c>
    </row>
    <row r="1313" spans="1:4">
      <c r="A1313" t="str">
        <f>"15066-6N203"</f>
        <v>15066-6N203</v>
      </c>
      <c r="B1313" t="str">
        <f>"SEAL-O RING"</f>
        <v>SEAL-O RING</v>
      </c>
      <c r="C1313">
        <v>18</v>
      </c>
      <c r="D1313">
        <v>104.44800000000001</v>
      </c>
    </row>
    <row r="1314" spans="1:4">
      <c r="A1314" t="str">
        <f>"15066-6N204"</f>
        <v>15066-6N204</v>
      </c>
      <c r="B1314" t="str">
        <f>"SEAL-O RING"</f>
        <v>SEAL-O RING</v>
      </c>
      <c r="C1314">
        <v>30</v>
      </c>
      <c r="D1314">
        <v>77.927999999999997</v>
      </c>
    </row>
    <row r="1315" spans="1:4">
      <c r="A1315" t="str">
        <f>"15066-71L00"</f>
        <v>15066-71L00</v>
      </c>
      <c r="B1315" t="str">
        <f>"GASKET-OIL PUMP"</f>
        <v>GASKET-OIL PUMP</v>
      </c>
      <c r="C1315">
        <v>33</v>
      </c>
      <c r="D1315">
        <v>117.91200000000001</v>
      </c>
    </row>
    <row r="1316" spans="1:4">
      <c r="A1316" t="str">
        <f>"15066-8H700"</f>
        <v>15066-8H700</v>
      </c>
      <c r="B1316" t="str">
        <f>"SEAL-O RING"</f>
        <v>SEAL-O RING</v>
      </c>
      <c r="C1316">
        <v>27</v>
      </c>
      <c r="D1316">
        <v>105.672</v>
      </c>
    </row>
    <row r="1317" spans="1:4">
      <c r="A1317" t="str">
        <f>"15066-AN200"</f>
        <v>15066-AN200</v>
      </c>
      <c r="B1317" t="str">
        <f>"RING-O"</f>
        <v>RING-O</v>
      </c>
      <c r="C1317">
        <v>9</v>
      </c>
      <c r="D1317">
        <v>106.896</v>
      </c>
    </row>
    <row r="1318" spans="1:4">
      <c r="A1318" t="str">
        <f>"15066-AR000"</f>
        <v>15066-AR000</v>
      </c>
      <c r="B1318" t="str">
        <f>"Уплотнительное кольц"</f>
        <v>Уплотнительное кольц</v>
      </c>
      <c r="C1318">
        <v>0</v>
      </c>
      <c r="D1318">
        <v>37.944000000000003</v>
      </c>
    </row>
    <row r="1319" spans="1:4">
      <c r="A1319" t="str">
        <f>"15066-AR010"</f>
        <v>15066-AR010</v>
      </c>
      <c r="B1319" t="str">
        <f>"Уплотнительное кольц"</f>
        <v>Уплотнительное кольц</v>
      </c>
      <c r="C1319">
        <v>8</v>
      </c>
      <c r="D1319">
        <v>107.712</v>
      </c>
    </row>
    <row r="1320" spans="1:4">
      <c r="A1320" t="str">
        <f>"15066-AR020"</f>
        <v>15066-AR020</v>
      </c>
      <c r="B1320" t="str">
        <f>"Уплотнительное кольц"</f>
        <v>Уплотнительное кольц</v>
      </c>
      <c r="C1320">
        <v>22</v>
      </c>
      <c r="D1320">
        <v>103.22399999999999</v>
      </c>
    </row>
    <row r="1321" spans="1:4">
      <c r="A1321" t="str">
        <f>"15066-ED010"</f>
        <v>15066-ED010</v>
      </c>
      <c r="B1321" t="str">
        <f>"Уплотнительное кольц"</f>
        <v>Уплотнительное кольц</v>
      </c>
      <c r="C1321">
        <v>20</v>
      </c>
      <c r="D1321">
        <v>90.983999999999995</v>
      </c>
    </row>
    <row r="1322" spans="1:4">
      <c r="A1322" t="str">
        <f>"15066-ZL80A"</f>
        <v>15066-ZL80A</v>
      </c>
      <c r="B1322" t="str">
        <f>"Уплотнительное кольц"</f>
        <v>Уплотнительное кольц</v>
      </c>
      <c r="C1322">
        <v>107</v>
      </c>
      <c r="D1322">
        <v>6.1199999999999992</v>
      </c>
    </row>
    <row r="1323" spans="1:4">
      <c r="A1323" t="str">
        <f>"15189-2W20A"</f>
        <v>15189-2W20A</v>
      </c>
      <c r="B1323" t="str">
        <f>"Прокладка трубки тур"</f>
        <v>Прокладка трубки тур</v>
      </c>
      <c r="C1323">
        <v>1</v>
      </c>
      <c r="D1323">
        <v>89.759999999999991</v>
      </c>
    </row>
    <row r="1324" spans="1:4">
      <c r="A1324" t="str">
        <f>"15189-2W20B"</f>
        <v>15189-2W20B</v>
      </c>
      <c r="B1324" t="str">
        <f>"Прокладка трубки тур"</f>
        <v>Прокладка трубки тур</v>
      </c>
      <c r="C1324">
        <v>6</v>
      </c>
      <c r="D1324">
        <v>128.928</v>
      </c>
    </row>
    <row r="1325" spans="1:4">
      <c r="A1325" t="str">
        <f>"15189-40P00"</f>
        <v>15189-40P00</v>
      </c>
      <c r="B1325" t="str">
        <f>"GASKET-EYE BOLT"</f>
        <v>GASKET-EYE BOLT</v>
      </c>
      <c r="C1325">
        <v>6</v>
      </c>
      <c r="D1325">
        <v>89.35199999999999</v>
      </c>
    </row>
    <row r="1326" spans="1:4">
      <c r="A1326" t="str">
        <f>"15189-VB300"</f>
        <v>15189-VB300</v>
      </c>
      <c r="B1326" t="str">
        <f>"GASKET-EYE BOLT"</f>
        <v>GASKET-EYE BOLT</v>
      </c>
      <c r="C1326">
        <v>5</v>
      </c>
      <c r="D1326">
        <v>84.86399999999999</v>
      </c>
    </row>
    <row r="1327" spans="1:4">
      <c r="A1327" t="str">
        <f>"15193-03E00"</f>
        <v>15193-03E00</v>
      </c>
      <c r="B1327" t="str">
        <f>"WASHER UNION B"</f>
        <v>WASHER UNION B</v>
      </c>
      <c r="C1327">
        <v>20</v>
      </c>
      <c r="D1327">
        <v>92.616</v>
      </c>
    </row>
    <row r="1328" spans="1:4">
      <c r="A1328" t="str">
        <f>"15193-EB70A"</f>
        <v>15193-EB70A</v>
      </c>
      <c r="B1328" t="str">
        <f>"Прокладка трубки тур"</f>
        <v>Прокладка трубки тур</v>
      </c>
      <c r="C1328">
        <v>4</v>
      </c>
      <c r="D1328">
        <v>49.368000000000002</v>
      </c>
    </row>
    <row r="1329" spans="1:4">
      <c r="A1329" t="str">
        <f>"15193-VB301"</f>
        <v>15193-VB301</v>
      </c>
      <c r="B1329" t="str">
        <f>"GASKET-EYE BOLT"</f>
        <v>GASKET-EYE BOLT</v>
      </c>
      <c r="C1329">
        <v>13</v>
      </c>
      <c r="D1329">
        <v>54.263999999999996</v>
      </c>
    </row>
    <row r="1330" spans="1:4">
      <c r="A1330" t="str">
        <f>"15196-2W200"</f>
        <v>15196-2W200</v>
      </c>
      <c r="B1330" t="str">
        <f>"GSKT-OIL T/C OU"</f>
        <v>GSKT-OIL T/C OU</v>
      </c>
      <c r="C1330">
        <v>36</v>
      </c>
      <c r="D1330">
        <v>49.775999999999996</v>
      </c>
    </row>
    <row r="1331" spans="1:4">
      <c r="A1331" t="str">
        <f>"15196-79E00"</f>
        <v>15196-79E00</v>
      </c>
      <c r="B1331" t="str">
        <f>"GASKET-TURBO CH"</f>
        <v>GASKET-TURBO CH</v>
      </c>
      <c r="C1331">
        <v>11</v>
      </c>
      <c r="D1331">
        <v>64.463999999999999</v>
      </c>
    </row>
    <row r="1332" spans="1:4">
      <c r="A1332" t="str">
        <f>"15196-AD200"</f>
        <v>15196-AD200</v>
      </c>
      <c r="B1332" t="str">
        <f>"GSKT-OIL T/C OU"</f>
        <v>GSKT-OIL T/C OU</v>
      </c>
      <c r="C1332">
        <v>9</v>
      </c>
      <c r="D1332">
        <v>53.04</v>
      </c>
    </row>
    <row r="1333" spans="1:4">
      <c r="A1333" t="str">
        <f>"15196-G2401"</f>
        <v>15196-G2401</v>
      </c>
      <c r="B1333" t="str">
        <f>"GSKT-OIL T/C OU"</f>
        <v>GSKT-OIL T/C OU</v>
      </c>
      <c r="C1333">
        <v>8</v>
      </c>
      <c r="D1333">
        <v>53.448</v>
      </c>
    </row>
    <row r="1334" spans="1:4">
      <c r="A1334" t="str">
        <f>"15196-VB300"</f>
        <v>15196-VB300</v>
      </c>
      <c r="B1334" t="str">
        <f>"GSKT-OIL T/C OU"</f>
        <v>GSKT-OIL T/C OU</v>
      </c>
      <c r="C1334">
        <v>27</v>
      </c>
      <c r="D1334">
        <v>41.616</v>
      </c>
    </row>
    <row r="1335" spans="1:4">
      <c r="A1335" t="str">
        <f>"15201-VC100"</f>
        <v>15201-VC100</v>
      </c>
      <c r="B1335" t="str">
        <f>"BODY-OIL FILTER"</f>
        <v>BODY-OIL FILTER</v>
      </c>
      <c r="C1335">
        <v>4</v>
      </c>
      <c r="D1335">
        <v>2416.5839999999998</v>
      </c>
    </row>
    <row r="1336" spans="1:4">
      <c r="A1336" t="str">
        <f>"15208-00Q0D"</f>
        <v>15208-00Q0D</v>
      </c>
      <c r="B1336" t="str">
        <f>"Фильтр масла"</f>
        <v>Фильтр масла</v>
      </c>
      <c r="C1336">
        <v>3</v>
      </c>
      <c r="D1336">
        <v>289.27199999999999</v>
      </c>
    </row>
    <row r="1337" spans="1:4">
      <c r="A1337" t="str">
        <f>"15208-00Q0H"</f>
        <v>15208-00Q0H</v>
      </c>
      <c r="B1337" t="str">
        <f>"Фильтр масла"</f>
        <v>Фильтр масла</v>
      </c>
      <c r="C1337">
        <v>0</v>
      </c>
      <c r="D1337">
        <v>285.19200000000001</v>
      </c>
    </row>
    <row r="1338" spans="1:4">
      <c r="A1338" t="str">
        <f>"15208-00Q0N"</f>
        <v>15208-00Q0N</v>
      </c>
      <c r="B1338" t="str">
        <f>"Фильтр масла"</f>
        <v>Фильтр масла</v>
      </c>
      <c r="C1338">
        <v>9</v>
      </c>
      <c r="D1338">
        <v>288.45599999999996</v>
      </c>
    </row>
    <row r="1339" spans="1:4">
      <c r="A1339" t="str">
        <f>"15208-20N1A"</f>
        <v>15208-20N1A</v>
      </c>
      <c r="B1339" t="str">
        <f>"Фильтр масла"</f>
        <v>Фильтр масла</v>
      </c>
      <c r="C1339">
        <v>7</v>
      </c>
      <c r="D1339">
        <v>425.54399999999998</v>
      </c>
    </row>
    <row r="1340" spans="1:4">
      <c r="A1340" t="str">
        <f>"15208-31U01"</f>
        <v>15208-31U01</v>
      </c>
      <c r="B1340" t="str">
        <f>"ELEMENT OIL"</f>
        <v>ELEMENT OIL</v>
      </c>
      <c r="C1340">
        <v>113</v>
      </c>
      <c r="D1340">
        <v>253.77599999999998</v>
      </c>
    </row>
    <row r="1341" spans="1:4">
      <c r="A1341" t="str">
        <f>"15208-40L02"</f>
        <v>15208-40L02</v>
      </c>
      <c r="B1341" t="str">
        <f>"FILTER ASSY-OIL"</f>
        <v>FILTER ASSY-OIL</v>
      </c>
      <c r="C1341">
        <v>18</v>
      </c>
      <c r="D1341">
        <v>297.83999999999997</v>
      </c>
    </row>
    <row r="1342" spans="1:4">
      <c r="A1342" t="str">
        <f>"15208-43G0A"</f>
        <v>15208-43G0A</v>
      </c>
      <c r="B1342" t="str">
        <f>"ФИЛЬТР МАСЛ"</f>
        <v>ФИЛЬТР МАСЛ</v>
      </c>
      <c r="C1342">
        <v>2</v>
      </c>
      <c r="D1342">
        <v>283.56</v>
      </c>
    </row>
    <row r="1343" spans="1:4">
      <c r="A1343" t="str">
        <f>"15208-53J0A"</f>
        <v>15208-53J0A</v>
      </c>
      <c r="B1343" t="str">
        <f>"Фильтр масла"</f>
        <v>Фильтр масла</v>
      </c>
      <c r="C1343">
        <v>102</v>
      </c>
      <c r="D1343">
        <v>263.976</v>
      </c>
    </row>
    <row r="1344" spans="1:4">
      <c r="A1344" t="str">
        <f>"15208-65F0A"</f>
        <v>15208-65F0A</v>
      </c>
      <c r="B1344" t="str">
        <f>"Фильтр масла"</f>
        <v>Фильтр масла</v>
      </c>
      <c r="C1344">
        <v>410</v>
      </c>
      <c r="D1344">
        <v>245.61599999999999</v>
      </c>
    </row>
    <row r="1345" spans="1:4">
      <c r="A1345" t="str">
        <f>"15208-71J00"</f>
        <v>15208-71J00</v>
      </c>
      <c r="B1345" t="str">
        <f>"FILTER ASSY-OIL"</f>
        <v>FILTER ASSY-OIL</v>
      </c>
      <c r="C1345">
        <v>0</v>
      </c>
      <c r="D1345">
        <v>240.71999999999997</v>
      </c>
    </row>
    <row r="1346" spans="1:4">
      <c r="A1346" t="str">
        <f>"15208-AD20A"</f>
        <v>15208-AD20A</v>
      </c>
      <c r="B1346" t="str">
        <f>"Фильтр масла"</f>
        <v>Фильтр масла</v>
      </c>
      <c r="C1346">
        <v>185</v>
      </c>
      <c r="D1346">
        <v>270.096</v>
      </c>
    </row>
    <row r="1347" spans="1:4">
      <c r="A1347" t="str">
        <f>"15208-BN30A"</f>
        <v>15208-BN30A</v>
      </c>
      <c r="B1347" t="str">
        <f>"FILTER ASSY-OIL"</f>
        <v>FILTER ASSY-OIL</v>
      </c>
      <c r="C1347">
        <v>0</v>
      </c>
      <c r="D1347">
        <v>297.83999999999997</v>
      </c>
    </row>
    <row r="1348" spans="1:4">
      <c r="A1348" t="str">
        <f>"15208-F4300"</f>
        <v>15208-F4300</v>
      </c>
      <c r="B1348" t="str">
        <f>"FILTER ASSY-OIL"</f>
        <v>FILTER ASSY-OIL</v>
      </c>
      <c r="C1348">
        <v>5</v>
      </c>
      <c r="D1348">
        <v>325.584</v>
      </c>
    </row>
    <row r="1349" spans="1:4">
      <c r="A1349" t="str">
        <f>"15208-F4301"</f>
        <v>15208-F4301</v>
      </c>
      <c r="B1349" t="str">
        <f>"FILTER ASSY-OIL"</f>
        <v>FILTER ASSY-OIL</v>
      </c>
      <c r="C1349">
        <v>6</v>
      </c>
      <c r="D1349">
        <v>325.584</v>
      </c>
    </row>
    <row r="1350" spans="1:4">
      <c r="A1350" t="str">
        <f>"15208-H890C"</f>
        <v>15208-H890C</v>
      </c>
      <c r="B1350" t="str">
        <f>"Фильтр масла"</f>
        <v>Фильтр масла</v>
      </c>
      <c r="C1350">
        <v>11</v>
      </c>
      <c r="D1350">
        <v>284.78399999999999</v>
      </c>
    </row>
    <row r="1351" spans="1:4">
      <c r="A1351" t="str">
        <f>"15208-H8911"</f>
        <v>15208-H8911</v>
      </c>
      <c r="B1351" t="str">
        <f>"ELEMENT OIL"</f>
        <v>ELEMENT OIL</v>
      </c>
      <c r="C1351">
        <v>81</v>
      </c>
      <c r="D1351">
        <v>284.78399999999999</v>
      </c>
    </row>
    <row r="1352" spans="1:4">
      <c r="A1352" t="str">
        <f>"15208-W1106"</f>
        <v>15208-W1106</v>
      </c>
      <c r="B1352" t="str">
        <f>"FILTER ASSY-OIL"</f>
        <v>FILTER ASSY-OIL</v>
      </c>
      <c r="C1352">
        <v>6</v>
      </c>
      <c r="D1352">
        <v>319.464</v>
      </c>
    </row>
    <row r="1353" spans="1:4">
      <c r="A1353" t="str">
        <f>"15209-00Q0A"</f>
        <v>15209-00Q0A</v>
      </c>
      <c r="B1353" t="str">
        <f>"Фильтр масла"</f>
        <v>Фильтр масла</v>
      </c>
      <c r="C1353">
        <v>56</v>
      </c>
      <c r="D1353">
        <v>406.77600000000001</v>
      </c>
    </row>
    <row r="1354" spans="1:4">
      <c r="A1354" t="str">
        <f>"15209-2W200"</f>
        <v>15209-2W200</v>
      </c>
      <c r="B1354" t="str">
        <f>"ELEMENT-OIL FIL"</f>
        <v>ELEMENT-OIL FIL</v>
      </c>
      <c r="C1354">
        <v>165</v>
      </c>
      <c r="D1354">
        <v>399.02399999999994</v>
      </c>
    </row>
    <row r="1355" spans="1:4">
      <c r="A1355" t="str">
        <f>"15241-01M0A"</f>
        <v>15241-01M0A</v>
      </c>
      <c r="B1355" t="str">
        <f>"Клапан давления масл"</f>
        <v>Клапан давления масл</v>
      </c>
      <c r="C1355">
        <v>31</v>
      </c>
      <c r="D1355">
        <v>229.29600000000002</v>
      </c>
    </row>
    <row r="1356" spans="1:4">
      <c r="A1356" t="str">
        <f>"15255-1P103"</f>
        <v>15255-1P103</v>
      </c>
      <c r="B1356" t="str">
        <f>"CAP-OIL FILLER"</f>
        <v>CAP-OIL FILLER</v>
      </c>
      <c r="C1356">
        <v>16</v>
      </c>
      <c r="D1356">
        <v>175.03200000000001</v>
      </c>
    </row>
    <row r="1357" spans="1:4">
      <c r="A1357" t="str">
        <f>"15255-1P110"</f>
        <v>15255-1P110</v>
      </c>
      <c r="B1357" t="str">
        <f>"CAP-OIL FILLER"</f>
        <v>CAP-OIL FILLER</v>
      </c>
      <c r="C1357">
        <v>39</v>
      </c>
      <c r="D1357">
        <v>596.49599999999998</v>
      </c>
    </row>
    <row r="1358" spans="1:4">
      <c r="A1358" t="str">
        <f>"15255-90J0A"</f>
        <v>15255-90J0A</v>
      </c>
      <c r="B1358" t="str">
        <f>"Крышка заливной горл"</f>
        <v>Крышка заливной горл</v>
      </c>
      <c r="C1358">
        <v>22</v>
      </c>
      <c r="D1358">
        <v>274.584</v>
      </c>
    </row>
    <row r="1359" spans="1:4">
      <c r="A1359" t="str">
        <f>"15255-95F0A"</f>
        <v>15255-95F0A</v>
      </c>
      <c r="B1359" t="str">
        <f>"Крышка заливной горл"</f>
        <v>Крышка заливной горл</v>
      </c>
      <c r="C1359">
        <v>9</v>
      </c>
      <c r="D1359">
        <v>177.072</v>
      </c>
    </row>
    <row r="1360" spans="1:4">
      <c r="A1360" t="str">
        <f>"15255-D5502"</f>
        <v>15255-D5502</v>
      </c>
      <c r="B1360" t="str">
        <f>"CAP ASSY-OIL FI"</f>
        <v>CAP ASSY-OIL FI</v>
      </c>
      <c r="C1360">
        <v>7</v>
      </c>
      <c r="D1360">
        <v>189.72</v>
      </c>
    </row>
    <row r="1361" spans="1:4">
      <c r="A1361" t="str">
        <f>"15270-90J01"</f>
        <v>15270-90J01</v>
      </c>
      <c r="B1361" t="str">
        <f>"Кольцо уплотнительно"</f>
        <v>Кольцо уплотнительно</v>
      </c>
      <c r="C1361">
        <v>39</v>
      </c>
      <c r="D1361">
        <v>170.952</v>
      </c>
    </row>
    <row r="1362" spans="1:4">
      <c r="A1362" t="str">
        <f>"16019-21G00"</f>
        <v>16019-21G00</v>
      </c>
      <c r="B1362" t="str">
        <f>"РЕГУЛЯТОР ДРОС. ЗАСЛ"</f>
        <v>РЕГУЛЯТОР ДРОС. ЗАСЛ</v>
      </c>
      <c r="C1362">
        <v>1</v>
      </c>
      <c r="D1362">
        <v>163.19999999999999</v>
      </c>
    </row>
    <row r="1363" spans="1:4">
      <c r="A1363" t="str">
        <f>"16078-60J01"</f>
        <v>16078-60J01</v>
      </c>
      <c r="B1363" t="str">
        <f>"MODULATOR-HOT W"</f>
        <v>MODULATOR-HOT W</v>
      </c>
      <c r="C1363">
        <v>2</v>
      </c>
      <c r="D1363">
        <v>10426.848</v>
      </c>
    </row>
    <row r="1364" spans="1:4">
      <c r="A1364" t="str">
        <f>"16118-95F0C"</f>
        <v>16118-95F0C</v>
      </c>
      <c r="B1364" t="str">
        <f>"КОРПУС ВОЗД ЗАСЛОНКИ"</f>
        <v>КОРПУС ВОЗД ЗАСЛОНКИ</v>
      </c>
      <c r="C1364">
        <v>0</v>
      </c>
      <c r="D1364">
        <v>15928.32</v>
      </c>
    </row>
    <row r="1365" spans="1:4">
      <c r="A1365" t="str">
        <f>"16119-8N00C"</f>
        <v>16119-8N00C</v>
      </c>
      <c r="B1365" t="str">
        <f>"Камера дроссельной з"</f>
        <v>Камера дроссельной з</v>
      </c>
      <c r="C1365">
        <v>2</v>
      </c>
      <c r="D1365">
        <v>13502.759999999998</v>
      </c>
    </row>
    <row r="1366" spans="1:4">
      <c r="A1366" t="str">
        <f>"16119-AU00C"</f>
        <v>16119-AU00C</v>
      </c>
      <c r="B1366" t="str">
        <f>"Камера дроссельной з"</f>
        <v>Камера дроссельной з</v>
      </c>
      <c r="C1366">
        <v>9</v>
      </c>
      <c r="D1366">
        <v>14067.84</v>
      </c>
    </row>
    <row r="1367" spans="1:4">
      <c r="A1367" t="str">
        <f>"1611K-8J10B-RE"</f>
        <v>1611K-8J10B-RE</v>
      </c>
      <c r="B1367" t="str">
        <f>"Камера воздушной зас"</f>
        <v>Камера воздушной зас</v>
      </c>
      <c r="C1367">
        <v>3</v>
      </c>
      <c r="D1367">
        <v>10836.48</v>
      </c>
    </row>
    <row r="1368" spans="1:4">
      <c r="A1368" t="str">
        <f>"16175-2Y001"</f>
        <v>16175-2Y001</v>
      </c>
      <c r="B1368" t="str">
        <f>"K GSKT-THROT CH"</f>
        <v>K GSKT-THROT CH</v>
      </c>
      <c r="C1368">
        <v>19</v>
      </c>
      <c r="D1368">
        <v>86.903999999999996</v>
      </c>
    </row>
    <row r="1369" spans="1:4">
      <c r="A1369" t="str">
        <f>"16175-4M500"</f>
        <v>16175-4M500</v>
      </c>
      <c r="B1369" t="str">
        <f>"K GSKT-THROT CH"</f>
        <v>K GSKT-THROT CH</v>
      </c>
      <c r="C1369">
        <v>10</v>
      </c>
      <c r="D1369">
        <v>90.167999999999992</v>
      </c>
    </row>
    <row r="1370" spans="1:4">
      <c r="A1370" t="str">
        <f>"16175-6N200"</f>
        <v>16175-6N200</v>
      </c>
      <c r="B1370" t="str">
        <f>"K GSKT-THROT CH"</f>
        <v>K GSKT-THROT CH</v>
      </c>
      <c r="C1370">
        <v>7</v>
      </c>
      <c r="D1370">
        <v>84.86399999999999</v>
      </c>
    </row>
    <row r="1371" spans="1:4">
      <c r="A1371" t="str">
        <f>"16175-73C01"</f>
        <v>16175-73C01</v>
      </c>
      <c r="B1371" t="str">
        <f>"K GSKT-THROT CH"</f>
        <v>K GSKT-THROT CH</v>
      </c>
      <c r="C1371">
        <v>9</v>
      </c>
      <c r="D1371">
        <v>84.048000000000002</v>
      </c>
    </row>
    <row r="1372" spans="1:4">
      <c r="A1372" t="str">
        <f>"16175-95F0B"</f>
        <v>16175-95F0B</v>
      </c>
      <c r="B1372" t="str">
        <f>"Прокладка дроссельно"</f>
        <v>Прокладка дроссельно</v>
      </c>
      <c r="C1372">
        <v>5</v>
      </c>
      <c r="D1372">
        <v>90.983999999999995</v>
      </c>
    </row>
    <row r="1373" spans="1:4">
      <c r="A1373" t="str">
        <f>"16175-AR000"</f>
        <v>16175-AR000</v>
      </c>
      <c r="B1373" t="str">
        <f>"K GSKT-THROT CH"</f>
        <v>K GSKT-THROT CH</v>
      </c>
      <c r="C1373">
        <v>46</v>
      </c>
      <c r="D1373">
        <v>87.719999999999985</v>
      </c>
    </row>
    <row r="1374" spans="1:4">
      <c r="A1374" t="str">
        <f>"16175-AU000"</f>
        <v>16175-AU000</v>
      </c>
      <c r="B1374" t="str">
        <f>"Прокладка дроссельно"</f>
        <v>Прокладка дроссельно</v>
      </c>
      <c r="C1374">
        <v>3</v>
      </c>
      <c r="D1374">
        <v>152.184</v>
      </c>
    </row>
    <row r="1375" spans="1:4">
      <c r="A1375" t="str">
        <f>"16175-AX000"</f>
        <v>16175-AX000</v>
      </c>
      <c r="B1375" t="str">
        <f>"K GSKT-THROT CH"</f>
        <v>K GSKT-THROT CH</v>
      </c>
      <c r="C1375">
        <v>9</v>
      </c>
      <c r="D1375">
        <v>86.087999999999994</v>
      </c>
    </row>
    <row r="1376" spans="1:4">
      <c r="A1376" t="str">
        <f>"16175-ED01A"</f>
        <v>16175-ED01A</v>
      </c>
      <c r="B1376" t="str">
        <f>"Прокладка дроссельно"</f>
        <v>Прокладка дроссельно</v>
      </c>
      <c r="C1376">
        <v>7</v>
      </c>
      <c r="D1376">
        <v>88.944000000000003</v>
      </c>
    </row>
    <row r="1377" spans="1:4">
      <c r="A1377" t="str">
        <f>"16175-ET80A"</f>
        <v>16175-ET80A</v>
      </c>
      <c r="B1377" t="str">
        <f>"Прокладка дроссельно"</f>
        <v>Прокладка дроссельно</v>
      </c>
      <c r="C1377">
        <v>1</v>
      </c>
      <c r="D1377">
        <v>87.719999999999985</v>
      </c>
    </row>
    <row r="1378" spans="1:4">
      <c r="A1378" t="str">
        <f>"16175-JA10A"</f>
        <v>16175-JA10A</v>
      </c>
      <c r="B1378" t="str">
        <f>"Прокладка дроссельно"</f>
        <v>Прокладка дроссельно</v>
      </c>
      <c r="C1378">
        <v>2</v>
      </c>
      <c r="D1378">
        <v>315.38399999999996</v>
      </c>
    </row>
    <row r="1379" spans="1:4">
      <c r="A1379" t="str">
        <f>"16175-JK21A"</f>
        <v>16175-JK21A</v>
      </c>
      <c r="B1379" t="str">
        <f>"Прокладка дроссельно"</f>
        <v>Прокладка дроссельно</v>
      </c>
      <c r="C1379">
        <v>8</v>
      </c>
      <c r="D1379">
        <v>210.93600000000001</v>
      </c>
    </row>
    <row r="1380" spans="1:4">
      <c r="A1380" t="str">
        <f>"16328-12G04"</f>
        <v>16328-12G04</v>
      </c>
      <c r="B1380" t="str">
        <f>"SEAL-O RING"</f>
        <v>SEAL-O RING</v>
      </c>
      <c r="C1380">
        <v>2</v>
      </c>
      <c r="D1380">
        <v>106.48799999999999</v>
      </c>
    </row>
    <row r="1381" spans="1:4">
      <c r="A1381" t="str">
        <f>"16400-2Y505"</f>
        <v>16400-2Y505</v>
      </c>
      <c r="B1381" t="str">
        <f>"STRAINER ASSY"</f>
        <v>STRAINER ASSY</v>
      </c>
      <c r="C1381">
        <v>9</v>
      </c>
      <c r="D1381">
        <v>641.37599999999998</v>
      </c>
    </row>
    <row r="1382" spans="1:4">
      <c r="A1382" t="str">
        <f>"16400-2Y922"</f>
        <v>16400-2Y922</v>
      </c>
      <c r="B1382" t="str">
        <f>"STRAINER ASSY"</f>
        <v>STRAINER ASSY</v>
      </c>
      <c r="C1382">
        <v>4</v>
      </c>
      <c r="D1382">
        <v>683.80799999999999</v>
      </c>
    </row>
    <row r="1383" spans="1:4">
      <c r="A1383" t="str">
        <f>"16400-41BX0"</f>
        <v>16400-41BX0</v>
      </c>
      <c r="B1383" t="str">
        <f>"FILTER ASSY-FUE"</f>
        <v>FILTER ASSY-FUE</v>
      </c>
      <c r="C1383">
        <v>49</v>
      </c>
      <c r="D1383">
        <v>576.91199999999992</v>
      </c>
    </row>
    <row r="1384" spans="1:4">
      <c r="A1384" t="str">
        <f>"16400-4M405"</f>
        <v>16400-4M405</v>
      </c>
      <c r="B1384" t="str">
        <f>"STRAINER ASSY"</f>
        <v>STRAINER ASSY</v>
      </c>
      <c r="C1384">
        <v>244</v>
      </c>
      <c r="D1384">
        <v>682.99199999999996</v>
      </c>
    </row>
    <row r="1385" spans="1:4">
      <c r="A1385" t="str">
        <f>"16400-4M505"</f>
        <v>16400-4M505</v>
      </c>
      <c r="B1385" t="str">
        <f>"STRAINER ASSY"</f>
        <v>STRAINER ASSY</v>
      </c>
      <c r="C1385">
        <v>25</v>
      </c>
      <c r="D1385">
        <v>777.64799999999991</v>
      </c>
    </row>
    <row r="1386" spans="1:4">
      <c r="A1386" t="str">
        <f>"16400-53JX0"</f>
        <v>16400-53JX0</v>
      </c>
      <c r="B1386" t="str">
        <f>"FILTER ASSY-FUE"</f>
        <v>FILTER ASSY-FUE</v>
      </c>
      <c r="C1386">
        <v>3</v>
      </c>
      <c r="D1386">
        <v>573.64800000000002</v>
      </c>
    </row>
    <row r="1387" spans="1:4">
      <c r="A1387" t="str">
        <f>"16400-5X21B"</f>
        <v>16400-5X21B</v>
      </c>
      <c r="B1387" t="str">
        <f>"Фильтр тонкой очистк"</f>
        <v>Фильтр тонкой очистк</v>
      </c>
      <c r="C1387">
        <v>5</v>
      </c>
      <c r="D1387">
        <v>1785.816</v>
      </c>
    </row>
    <row r="1388" spans="1:4">
      <c r="A1388" t="str">
        <f>"16400-6J901"</f>
        <v>16400-6J901</v>
      </c>
      <c r="B1388" t="str">
        <f>"STRAINER FUEL"</f>
        <v>STRAINER FUEL</v>
      </c>
      <c r="C1388">
        <v>4</v>
      </c>
      <c r="D1388">
        <v>680.54399999999998</v>
      </c>
    </row>
    <row r="1389" spans="1:4">
      <c r="A1389" t="str">
        <f>"16400-70J00"</f>
        <v>16400-70J00</v>
      </c>
      <c r="B1389" t="str">
        <f>"STRAINER ASSY-F"</f>
        <v>STRAINER ASSY-F</v>
      </c>
      <c r="C1389">
        <v>1</v>
      </c>
      <c r="D1389">
        <v>526.32000000000005</v>
      </c>
    </row>
    <row r="1390" spans="1:4">
      <c r="A1390" t="str">
        <f>"16400-EC00A"</f>
        <v>16400-EC00A</v>
      </c>
      <c r="B1390" t="str">
        <f t="shared" ref="B1390:B1397" si="20">"Фильтр тонкой очистк"</f>
        <v>Фильтр тонкой очистк</v>
      </c>
      <c r="C1390">
        <v>12</v>
      </c>
      <c r="D1390">
        <v>1358.2319999999997</v>
      </c>
    </row>
    <row r="1391" spans="1:4">
      <c r="A1391" t="str">
        <f>"16400-ES60A"</f>
        <v>16400-ES60A</v>
      </c>
      <c r="B1391" t="str">
        <f t="shared" si="20"/>
        <v>Фильтр тонкой очистк</v>
      </c>
      <c r="C1391">
        <v>1</v>
      </c>
      <c r="D1391">
        <v>1339.8719999999998</v>
      </c>
    </row>
    <row r="1392" spans="1:4">
      <c r="A1392" t="str">
        <f>"16400-ES60C"</f>
        <v>16400-ES60C</v>
      </c>
      <c r="B1392" t="str">
        <f t="shared" si="20"/>
        <v>Фильтр тонкой очистк</v>
      </c>
      <c r="C1392">
        <v>11</v>
      </c>
      <c r="D1392">
        <v>3135.0719999999997</v>
      </c>
    </row>
    <row r="1393" spans="1:4">
      <c r="A1393" t="str">
        <f>"16400-JD51A"</f>
        <v>16400-JD51A</v>
      </c>
      <c r="B1393" t="str">
        <f t="shared" si="20"/>
        <v>Фильтр тонкой очистк</v>
      </c>
      <c r="C1393">
        <v>3</v>
      </c>
      <c r="D1393">
        <v>857.20799999999997</v>
      </c>
    </row>
    <row r="1394" spans="1:4">
      <c r="A1394" t="str">
        <f>"16400-JD52A"</f>
        <v>16400-JD52A</v>
      </c>
      <c r="B1394" t="str">
        <f t="shared" si="20"/>
        <v>Фильтр тонкой очистк</v>
      </c>
      <c r="C1394">
        <v>5</v>
      </c>
      <c r="D1394">
        <v>1071.8159999999998</v>
      </c>
    </row>
    <row r="1395" spans="1:4">
      <c r="A1395" t="str">
        <f>"16400-JR00B"</f>
        <v>16400-JR00B</v>
      </c>
      <c r="B1395" t="str">
        <f t="shared" si="20"/>
        <v>Фильтр тонкой очистк</v>
      </c>
      <c r="C1395">
        <v>4</v>
      </c>
      <c r="D1395">
        <v>1286.0160000000001</v>
      </c>
    </row>
    <row r="1396" spans="1:4">
      <c r="A1396" t="str">
        <f>"16400-JY00B"</f>
        <v>16400-JY00B</v>
      </c>
      <c r="B1396" t="str">
        <f t="shared" si="20"/>
        <v>Фильтр тонкой очистк</v>
      </c>
      <c r="C1396">
        <v>4</v>
      </c>
      <c r="D1396">
        <v>1650.768</v>
      </c>
    </row>
    <row r="1397" spans="1:4">
      <c r="A1397" t="str">
        <f>"16400-LC30A"</f>
        <v>16400-LC30A</v>
      </c>
      <c r="B1397" t="str">
        <f t="shared" si="20"/>
        <v>Фильтр тонкой очистк</v>
      </c>
      <c r="C1397">
        <v>4</v>
      </c>
      <c r="D1397">
        <v>1339.8719999999998</v>
      </c>
    </row>
    <row r="1398" spans="1:4">
      <c r="A1398" t="str">
        <f>"16400-Q0805"</f>
        <v>16400-Q0805</v>
      </c>
      <c r="B1398" t="str">
        <f>"STRAINER FUEL"</f>
        <v>STRAINER FUEL</v>
      </c>
      <c r="C1398">
        <v>1</v>
      </c>
      <c r="D1398">
        <v>846.6</v>
      </c>
    </row>
    <row r="1399" spans="1:4">
      <c r="A1399" t="str">
        <f>"16400-VC10A"</f>
        <v>16400-VC10A</v>
      </c>
      <c r="B1399" t="str">
        <f>"Фильтр тонкой очистк"</f>
        <v>Фильтр тонкой очистк</v>
      </c>
      <c r="C1399">
        <v>1</v>
      </c>
      <c r="D1399">
        <v>5518.6080000000002</v>
      </c>
    </row>
    <row r="1400" spans="1:4">
      <c r="A1400" t="str">
        <f>"16400-WF700"</f>
        <v>16400-WF700</v>
      </c>
      <c r="B1400" t="str">
        <f>"STRAINER ASSY"</f>
        <v>STRAINER ASSY</v>
      </c>
      <c r="C1400">
        <v>3</v>
      </c>
      <c r="D1400">
        <v>728.68799999999999</v>
      </c>
    </row>
    <row r="1401" spans="1:4">
      <c r="A1401" t="str">
        <f>"16401-VC10A"</f>
        <v>16401-VC10A</v>
      </c>
      <c r="B1401" t="str">
        <f>"Крышка топливного фи"</f>
        <v>Крышка топливного фи</v>
      </c>
      <c r="C1401">
        <v>0</v>
      </c>
      <c r="D1401">
        <v>4311.7439999999997</v>
      </c>
    </row>
    <row r="1402" spans="1:4">
      <c r="A1402" t="str">
        <f>"16401-VC10C"</f>
        <v>16401-VC10C</v>
      </c>
      <c r="B1402" t="str">
        <f>"Крышка топливного фи"</f>
        <v>Крышка топливного фи</v>
      </c>
      <c r="C1402">
        <v>9</v>
      </c>
      <c r="D1402">
        <v>4071.4319999999998</v>
      </c>
    </row>
    <row r="1403" spans="1:4">
      <c r="A1403" t="str">
        <f>"16403-01TX1"</f>
        <v>16403-01TX1</v>
      </c>
      <c r="B1403" t="str">
        <f>"FILTER ASSY-FUE"</f>
        <v>FILTER ASSY-FUE</v>
      </c>
      <c r="C1403">
        <v>8</v>
      </c>
      <c r="D1403">
        <v>771.93599999999992</v>
      </c>
    </row>
    <row r="1404" spans="1:4">
      <c r="A1404" t="str">
        <f>"16403-4U11A"</f>
        <v>16403-4U11A</v>
      </c>
      <c r="B1404" t="str">
        <f>"Фильтр тонкой очистк"</f>
        <v>Фильтр тонкой очистк</v>
      </c>
      <c r="C1404">
        <v>24</v>
      </c>
      <c r="D1404">
        <v>692.37599999999998</v>
      </c>
    </row>
    <row r="1405" spans="1:4">
      <c r="A1405" t="str">
        <f>"16403-59EXM"</f>
        <v>16403-59EXM</v>
      </c>
      <c r="B1405" t="str">
        <f>"Фильтр тонкой очистк"</f>
        <v>Фильтр тонкой очистк</v>
      </c>
      <c r="C1405">
        <v>17</v>
      </c>
      <c r="D1405">
        <v>659.32800000000009</v>
      </c>
    </row>
    <row r="1406" spans="1:4">
      <c r="A1406" t="str">
        <f>"16403-7F40A"</f>
        <v>16403-7F40A</v>
      </c>
      <c r="B1406" t="str">
        <f>"Фильтр тонкой очистк"</f>
        <v>Фильтр тонкой очистк</v>
      </c>
      <c r="C1406">
        <v>16</v>
      </c>
      <c r="D1406">
        <v>645.04799999999989</v>
      </c>
    </row>
    <row r="1407" spans="1:4">
      <c r="A1407" t="str">
        <f>"16405-01T0A"</f>
        <v>16405-01T0A</v>
      </c>
      <c r="B1407" t="str">
        <f>"Фильтр тонкой очистк"</f>
        <v>Фильтр тонкой очистк</v>
      </c>
      <c r="C1407">
        <v>10</v>
      </c>
      <c r="D1407">
        <v>1247.2560000000001</v>
      </c>
    </row>
    <row r="1408" spans="1:4">
      <c r="A1408" t="str">
        <f>"16405-02N0A"</f>
        <v>16405-02N0A</v>
      </c>
      <c r="B1408" t="str">
        <f>"Фильтр тонкой очистк"</f>
        <v>Фильтр тонкой очистк</v>
      </c>
      <c r="C1408">
        <v>10</v>
      </c>
      <c r="D1408">
        <v>758.47199999999987</v>
      </c>
    </row>
    <row r="1409" spans="1:4">
      <c r="A1409" t="str">
        <f>"16406-05E00"</f>
        <v>16406-05E00</v>
      </c>
      <c r="B1409" t="str">
        <f>"O RING"</f>
        <v>O RING</v>
      </c>
      <c r="C1409">
        <v>11</v>
      </c>
      <c r="D1409">
        <v>53.04</v>
      </c>
    </row>
    <row r="1410" spans="1:4">
      <c r="A1410" t="str">
        <f>"16412-8H800"</f>
        <v>16412-8H800</v>
      </c>
      <c r="B1410" t="str">
        <f>"Топливный датчик"</f>
        <v>Топливный датчик</v>
      </c>
      <c r="C1410">
        <v>1</v>
      </c>
      <c r="D1410">
        <v>1761.7439999999999</v>
      </c>
    </row>
    <row r="1411" spans="1:4">
      <c r="A1411" t="str">
        <f>"16412-AD200"</f>
        <v>16412-AD200</v>
      </c>
      <c r="B1411" t="str">
        <f>"SENSOR ASSY"</f>
        <v>SENSOR ASSY</v>
      </c>
      <c r="C1411">
        <v>8</v>
      </c>
      <c r="D1411">
        <v>1811.1119999999999</v>
      </c>
    </row>
    <row r="1412" spans="1:4">
      <c r="A1412" t="str">
        <f>"16413-7F401"</f>
        <v>16413-7F401</v>
      </c>
      <c r="B1412" t="str">
        <f>"КЛАПАН"</f>
        <v>КЛАПАН</v>
      </c>
      <c r="C1412">
        <v>0</v>
      </c>
      <c r="D1412">
        <v>196.65599999999998</v>
      </c>
    </row>
    <row r="1413" spans="1:4">
      <c r="A1413" t="str">
        <f>"16455-61J00"</f>
        <v>16455-61J00</v>
      </c>
      <c r="B1413" t="str">
        <f>"GASKET KIT"</f>
        <v>GASKET KIT</v>
      </c>
      <c r="C1413">
        <v>9</v>
      </c>
      <c r="D1413">
        <v>716.85599999999999</v>
      </c>
    </row>
    <row r="1414" spans="1:4">
      <c r="A1414" t="str">
        <f>"16455-D3602"</f>
        <v>16455-D3602</v>
      </c>
      <c r="B1414" t="str">
        <f>"GASKET KIT"</f>
        <v>GASKET KIT</v>
      </c>
      <c r="C1414">
        <v>1</v>
      </c>
      <c r="D1414">
        <v>1986.1439999999998</v>
      </c>
    </row>
    <row r="1415" spans="1:4">
      <c r="A1415" t="str">
        <f>"16500-8H32A"</f>
        <v>16500-8H32A</v>
      </c>
      <c r="B1415" t="str">
        <f t="shared" ref="B1415:B1421" si="21">"Корпус воздушного фи"</f>
        <v>Корпус воздушного фи</v>
      </c>
      <c r="C1415">
        <v>1</v>
      </c>
      <c r="D1415">
        <v>10956.432000000001</v>
      </c>
    </row>
    <row r="1416" spans="1:4">
      <c r="A1416" t="str">
        <f>"16500-BC20C"</f>
        <v>16500-BC20C</v>
      </c>
      <c r="B1416" t="str">
        <f t="shared" si="21"/>
        <v>Корпус воздушного фи</v>
      </c>
      <c r="C1416">
        <v>0</v>
      </c>
      <c r="D1416">
        <v>7127.76</v>
      </c>
    </row>
    <row r="1417" spans="1:4">
      <c r="A1417" t="str">
        <f>"16500-BM70B"</f>
        <v>16500-BM70B</v>
      </c>
      <c r="B1417" t="str">
        <f t="shared" si="21"/>
        <v>Корпус воздушного фи</v>
      </c>
      <c r="C1417">
        <v>3</v>
      </c>
      <c r="D1417">
        <v>6838.4879999999994</v>
      </c>
    </row>
    <row r="1418" spans="1:4">
      <c r="A1418" t="str">
        <f>"16500-CC00A"</f>
        <v>16500-CC00A</v>
      </c>
      <c r="B1418" t="str">
        <f t="shared" si="21"/>
        <v>Корпус воздушного фи</v>
      </c>
      <c r="C1418">
        <v>1</v>
      </c>
      <c r="D1418">
        <v>12783.455999999998</v>
      </c>
    </row>
    <row r="1419" spans="1:4">
      <c r="A1419" t="str">
        <f>"16500-CG00A"</f>
        <v>16500-CG00A</v>
      </c>
      <c r="B1419" t="str">
        <f t="shared" si="21"/>
        <v>Корпус воздушного фи</v>
      </c>
      <c r="C1419">
        <v>5</v>
      </c>
      <c r="D1419">
        <v>13221.24</v>
      </c>
    </row>
    <row r="1420" spans="1:4">
      <c r="A1420" t="str">
        <f>"16500-EB30D"</f>
        <v>16500-EB30D</v>
      </c>
      <c r="B1420" t="str">
        <f t="shared" si="21"/>
        <v>Корпус воздушного фи</v>
      </c>
      <c r="C1420">
        <v>0</v>
      </c>
      <c r="D1420">
        <v>11283.648000000001</v>
      </c>
    </row>
    <row r="1421" spans="1:4">
      <c r="A1421" t="str">
        <f>"16500-JG00B"</f>
        <v>16500-JG00B</v>
      </c>
      <c r="B1421" t="str">
        <f t="shared" si="21"/>
        <v>Корпус воздушного фи</v>
      </c>
      <c r="C1421">
        <v>2</v>
      </c>
      <c r="D1421">
        <v>16846.32</v>
      </c>
    </row>
    <row r="1422" spans="1:4">
      <c r="A1422" t="str">
        <f>"16500-JG30A"</f>
        <v>16500-JG30A</v>
      </c>
      <c r="B1422" t="str">
        <f>"Корпус воздухово"</f>
        <v>Корпус воздухово</v>
      </c>
      <c r="C1422">
        <v>0</v>
      </c>
      <c r="D1422">
        <v>16382.423999999999</v>
      </c>
    </row>
    <row r="1423" spans="1:4">
      <c r="A1423" t="str">
        <f>"16526-95F0A"</f>
        <v>16526-95F0A</v>
      </c>
      <c r="B1423" t="str">
        <f>"Крышка воздухово"</f>
        <v>Крышка воздухово</v>
      </c>
      <c r="C1423">
        <v>6</v>
      </c>
      <c r="D1423">
        <v>3672</v>
      </c>
    </row>
    <row r="1424" spans="1:4">
      <c r="A1424" t="str">
        <f>"16526-9F600"</f>
        <v>16526-9F600</v>
      </c>
      <c r="B1424" t="str">
        <f>"Крышка воздухово"</f>
        <v>Крышка воздухово</v>
      </c>
      <c r="C1424">
        <v>2</v>
      </c>
      <c r="D1424">
        <v>2978.4</v>
      </c>
    </row>
    <row r="1425" spans="1:4">
      <c r="A1425" t="str">
        <f>"16526-BM700"</f>
        <v>16526-BM700</v>
      </c>
      <c r="B1425" t="str">
        <f>"AIR CLEANER COV"</f>
        <v>AIR CLEANER COV</v>
      </c>
      <c r="C1425">
        <v>1</v>
      </c>
      <c r="D1425">
        <v>3587.5439999999999</v>
      </c>
    </row>
    <row r="1426" spans="1:4">
      <c r="A1426" t="str">
        <f>"16528-6N00A"</f>
        <v>16528-6N00A</v>
      </c>
      <c r="B1426" t="str">
        <f>"Корпус воздушного фи"</f>
        <v>Корпус воздушного фи</v>
      </c>
      <c r="C1426">
        <v>10</v>
      </c>
      <c r="D1426">
        <v>3876</v>
      </c>
    </row>
    <row r="1427" spans="1:4">
      <c r="A1427" t="str">
        <f>"16528-95F0B"</f>
        <v>16528-95F0B</v>
      </c>
      <c r="B1427" t="str">
        <f>"Корпус воздушного фи"</f>
        <v>Корпус воздушного фи</v>
      </c>
      <c r="C1427">
        <v>2</v>
      </c>
      <c r="D1427">
        <v>5433.7439999999997</v>
      </c>
    </row>
    <row r="1428" spans="1:4">
      <c r="A1428" t="str">
        <f>"16528-AX61A"</f>
        <v>16528-AX61A</v>
      </c>
      <c r="B1428" t="str">
        <f>"Корпус воздушного фи"</f>
        <v>Корпус воздушного фи</v>
      </c>
      <c r="C1428">
        <v>3</v>
      </c>
      <c r="D1428">
        <v>2846.2080000000001</v>
      </c>
    </row>
    <row r="1429" spans="1:4">
      <c r="A1429" t="str">
        <f>"16528-BM702"</f>
        <v>16528-BM702</v>
      </c>
      <c r="B1429" t="str">
        <f>"BODY ASSY-AIR C"</f>
        <v>BODY ASSY-AIR C</v>
      </c>
      <c r="C1429">
        <v>3</v>
      </c>
      <c r="D1429">
        <v>3565.1039999999998</v>
      </c>
    </row>
    <row r="1430" spans="1:4">
      <c r="A1430" t="str">
        <f>"16528-CA000"</f>
        <v>16528-CA000</v>
      </c>
      <c r="B1430" t="str">
        <f>"BODY-CLEANER"</f>
        <v>BODY-CLEANER</v>
      </c>
      <c r="C1430">
        <v>3</v>
      </c>
      <c r="D1430">
        <v>5070.2160000000003</v>
      </c>
    </row>
    <row r="1431" spans="1:4">
      <c r="A1431" t="str">
        <f>"16528-CG200"</f>
        <v>16528-CG200</v>
      </c>
      <c r="B1431" t="str">
        <f>"Корпус воздушного фи"</f>
        <v>Корпус воздушного фи</v>
      </c>
      <c r="C1431">
        <v>2</v>
      </c>
      <c r="D1431">
        <v>6627.1439999999993</v>
      </c>
    </row>
    <row r="1432" spans="1:4">
      <c r="A1432" t="str">
        <f>"16528-EB300"</f>
        <v>16528-EB300</v>
      </c>
      <c r="B1432" t="str">
        <f>"Корпус воздушного фи"</f>
        <v>Корпус воздушного фи</v>
      </c>
      <c r="C1432">
        <v>2</v>
      </c>
      <c r="D1432">
        <v>6327.2640000000001</v>
      </c>
    </row>
    <row r="1433" spans="1:4">
      <c r="A1433" t="str">
        <f>"16528-ED500"</f>
        <v>16528-ED500</v>
      </c>
      <c r="B1433" t="str">
        <f>"Корпус воздушного фи"</f>
        <v>Корпус воздушного фи</v>
      </c>
      <c r="C1433">
        <v>2</v>
      </c>
      <c r="D1433">
        <v>4650.384</v>
      </c>
    </row>
    <row r="1434" spans="1:4">
      <c r="A1434" t="str">
        <f>"16528-JD20A"</f>
        <v>16528-JD20A</v>
      </c>
      <c r="B1434" t="str">
        <f>"Корпус воздушного фи"</f>
        <v>Корпус воздушного фи</v>
      </c>
      <c r="C1434">
        <v>1</v>
      </c>
      <c r="D1434">
        <v>5689.56</v>
      </c>
    </row>
    <row r="1435" spans="1:4">
      <c r="A1435" t="str">
        <f>"16528-JK20B"</f>
        <v>16528-JK20B</v>
      </c>
      <c r="B1435" t="str">
        <f>"Корпус воздушного фи"</f>
        <v>Корпус воздушного фи</v>
      </c>
      <c r="C1435">
        <v>2</v>
      </c>
      <c r="D1435">
        <v>5649.5759999999991</v>
      </c>
    </row>
    <row r="1436" spans="1:4">
      <c r="A1436" t="str">
        <f>"16533-31U00"</f>
        <v>16533-31U00</v>
      </c>
      <c r="B1436" t="str">
        <f>"CLIP"</f>
        <v>CLIP</v>
      </c>
      <c r="C1436">
        <v>14</v>
      </c>
      <c r="D1436">
        <v>48.959999999999994</v>
      </c>
    </row>
    <row r="1437" spans="1:4">
      <c r="A1437" t="str">
        <f>"16538-95F0A"</f>
        <v>16538-95F0A</v>
      </c>
      <c r="B1437" t="str">
        <f>"Кронштейн воздуховод"</f>
        <v>Кронштейн воздуховод</v>
      </c>
      <c r="C1437">
        <v>9</v>
      </c>
      <c r="D1437">
        <v>514.48799999999994</v>
      </c>
    </row>
    <row r="1438" spans="1:4">
      <c r="A1438" t="str">
        <f>"16546-06J00"</f>
        <v>16546-06J00</v>
      </c>
      <c r="B1438" t="str">
        <f>"ELEMENT-ASSY"</f>
        <v>ELEMENT-ASSY</v>
      </c>
      <c r="C1438">
        <v>0</v>
      </c>
      <c r="D1438">
        <v>661.77599999999995</v>
      </c>
    </row>
    <row r="1439" spans="1:4">
      <c r="A1439" t="str">
        <f>"16546-06N00"</f>
        <v>16546-06N00</v>
      </c>
      <c r="B1439" t="str">
        <f>"ELEMENT ASSY"</f>
        <v>ELEMENT ASSY</v>
      </c>
      <c r="C1439">
        <v>1</v>
      </c>
      <c r="D1439">
        <v>517.75199999999995</v>
      </c>
    </row>
    <row r="1440" spans="1:4">
      <c r="A1440" t="str">
        <f>"16546-0F000"</f>
        <v>16546-0F000</v>
      </c>
      <c r="B1440" t="str">
        <f>"ELEMENT ASSY"</f>
        <v>ELEMENT ASSY</v>
      </c>
      <c r="C1440">
        <v>2</v>
      </c>
      <c r="D1440">
        <v>633.62399999999991</v>
      </c>
    </row>
    <row r="1441" spans="1:4">
      <c r="A1441" t="str">
        <f>"16546-0W800"</f>
        <v>16546-0W800</v>
      </c>
      <c r="B1441" t="str">
        <f>"ELEMENT ASSY"</f>
        <v>ELEMENT ASSY</v>
      </c>
      <c r="C1441">
        <v>4</v>
      </c>
      <c r="D1441">
        <v>606.28800000000001</v>
      </c>
    </row>
    <row r="1442" spans="1:4">
      <c r="A1442" t="str">
        <f>"16546-1LK0E"</f>
        <v>16546-1LK0E</v>
      </c>
      <c r="B1442" t="str">
        <f>"Фильтр воздуха"</f>
        <v>Фильтр воздуха</v>
      </c>
      <c r="C1442">
        <v>9</v>
      </c>
      <c r="D1442">
        <v>805.39199999999994</v>
      </c>
    </row>
    <row r="1443" spans="1:4">
      <c r="A1443" t="str">
        <f>"16546-30P00"</f>
        <v>16546-30P00</v>
      </c>
      <c r="B1443" t="str">
        <f>"ELEMENT ASSY"</f>
        <v>ELEMENT ASSY</v>
      </c>
      <c r="C1443">
        <v>36</v>
      </c>
      <c r="D1443">
        <v>679.72800000000007</v>
      </c>
    </row>
    <row r="1444" spans="1:4">
      <c r="A1444" t="str">
        <f>"16546-3J400"</f>
        <v>16546-3J400</v>
      </c>
      <c r="B1444" t="str">
        <f>"ELEMENT ASSY"</f>
        <v>ELEMENT ASSY</v>
      </c>
      <c r="C1444">
        <v>130</v>
      </c>
      <c r="D1444">
        <v>547.12799999999993</v>
      </c>
    </row>
    <row r="1445" spans="1:4">
      <c r="A1445" t="str">
        <f>"16546-3J41A"</f>
        <v>16546-3J41A</v>
      </c>
      <c r="B1445" t="str">
        <f>"Фильтр воздуха"</f>
        <v>Фильтр воздуха</v>
      </c>
      <c r="C1445">
        <v>0</v>
      </c>
      <c r="D1445">
        <v>489.19200000000001</v>
      </c>
    </row>
    <row r="1446" spans="1:4">
      <c r="A1446" t="str">
        <f>"16546-64J02"</f>
        <v>16546-64J02</v>
      </c>
      <c r="B1446" t="str">
        <f>"ELEMENT ASSY"</f>
        <v>ELEMENT ASSY</v>
      </c>
      <c r="C1446">
        <v>0</v>
      </c>
      <c r="D1446">
        <v>461.03999999999996</v>
      </c>
    </row>
    <row r="1447" spans="1:4">
      <c r="A1447" t="str">
        <f>"16546-77A10"</f>
        <v>16546-77A10</v>
      </c>
      <c r="B1447" t="str">
        <f>"ELEMENT ASSY"</f>
        <v>ELEMENT ASSY</v>
      </c>
      <c r="C1447">
        <v>2</v>
      </c>
      <c r="D1447">
        <v>461.03999999999996</v>
      </c>
    </row>
    <row r="1448" spans="1:4">
      <c r="A1448" t="str">
        <f>"16546-7F000"</f>
        <v>16546-7F000</v>
      </c>
      <c r="B1448" t="str">
        <f>"ELEMENT ASSY"</f>
        <v>ELEMENT ASSY</v>
      </c>
      <c r="C1448">
        <v>14</v>
      </c>
      <c r="D1448">
        <v>633.62399999999991</v>
      </c>
    </row>
    <row r="1449" spans="1:4">
      <c r="A1449" t="str">
        <f>"16546-7S015"</f>
        <v>16546-7S015</v>
      </c>
      <c r="B1449" t="str">
        <f>"Фильтр воздуха"</f>
        <v>Фильтр воздуха</v>
      </c>
      <c r="C1449">
        <v>35</v>
      </c>
      <c r="D1449">
        <v>690.3359999999999</v>
      </c>
    </row>
    <row r="1450" spans="1:4">
      <c r="A1450" t="str">
        <f>"16546-9S001"</f>
        <v>16546-9S001</v>
      </c>
      <c r="B1450" t="str">
        <f>"Фильтр воздуха"</f>
        <v>Фильтр воздуха</v>
      </c>
      <c r="C1450">
        <v>27</v>
      </c>
      <c r="D1450">
        <v>677.68799999999999</v>
      </c>
    </row>
    <row r="1451" spans="1:4">
      <c r="A1451" t="str">
        <f>"16546-AR000"</f>
        <v>16546-AR000</v>
      </c>
      <c r="B1451" t="str">
        <f>"ELEMENT ASSY"</f>
        <v>ELEMENT ASSY</v>
      </c>
      <c r="C1451">
        <v>29</v>
      </c>
      <c r="D1451">
        <v>690.3359999999999</v>
      </c>
    </row>
    <row r="1452" spans="1:4">
      <c r="A1452" t="str">
        <f>"16546-AX000"</f>
        <v>16546-AX000</v>
      </c>
      <c r="B1452" t="str">
        <f>"ELEMENT ASSY"</f>
        <v>ELEMENT ASSY</v>
      </c>
      <c r="C1452">
        <v>204</v>
      </c>
      <c r="D1452">
        <v>493.27199999999999</v>
      </c>
    </row>
    <row r="1453" spans="1:4">
      <c r="A1453" t="str">
        <f>"16546-BC40A"</f>
        <v>16546-BC40A</v>
      </c>
      <c r="B1453" t="str">
        <f>"Фильтр воздуха"</f>
        <v>Фильтр воздуха</v>
      </c>
      <c r="C1453">
        <v>2</v>
      </c>
      <c r="D1453">
        <v>547.12799999999993</v>
      </c>
    </row>
    <row r="1454" spans="1:4">
      <c r="A1454" t="str">
        <f>"16546-EB300"</f>
        <v>16546-EB300</v>
      </c>
      <c r="B1454" t="str">
        <f>"ELEMENT ASSY-AI"</f>
        <v>ELEMENT ASSY-AI</v>
      </c>
      <c r="C1454">
        <v>36</v>
      </c>
      <c r="D1454">
        <v>634.03200000000004</v>
      </c>
    </row>
    <row r="1455" spans="1:4">
      <c r="A1455" t="str">
        <f>"16546-ED000"</f>
        <v>16546-ED000</v>
      </c>
      <c r="B1455" t="str">
        <f t="shared" ref="B1455:B1464" si="22">"Фильтр воздуха"</f>
        <v>Фильтр воздуха</v>
      </c>
      <c r="C1455">
        <v>88</v>
      </c>
      <c r="D1455">
        <v>639.3359999999999</v>
      </c>
    </row>
    <row r="1456" spans="1:4">
      <c r="A1456" t="str">
        <f>"16546-EG000"</f>
        <v>16546-EG000</v>
      </c>
      <c r="B1456" t="str">
        <f t="shared" si="22"/>
        <v>Фильтр воздуха</v>
      </c>
      <c r="C1456">
        <v>66</v>
      </c>
      <c r="D1456">
        <v>1049.376</v>
      </c>
    </row>
    <row r="1457" spans="1:4">
      <c r="A1457" t="str">
        <f>"16546-EH000"</f>
        <v>16546-EH000</v>
      </c>
      <c r="B1457" t="str">
        <f t="shared" si="22"/>
        <v>Фильтр воздуха</v>
      </c>
      <c r="C1457">
        <v>147</v>
      </c>
      <c r="D1457">
        <v>858.43200000000002</v>
      </c>
    </row>
    <row r="1458" spans="1:4">
      <c r="A1458" t="str">
        <f>"16546-EJ70A"</f>
        <v>16546-EJ70A</v>
      </c>
      <c r="B1458" t="str">
        <f t="shared" si="22"/>
        <v>Фильтр воздуха</v>
      </c>
      <c r="C1458">
        <v>17</v>
      </c>
      <c r="D1458">
        <v>602.61599999999999</v>
      </c>
    </row>
    <row r="1459" spans="1:4">
      <c r="A1459" t="str">
        <f>"16546-JA00B"</f>
        <v>16546-JA00B</v>
      </c>
      <c r="B1459" t="str">
        <f t="shared" si="22"/>
        <v>Фильтр воздуха</v>
      </c>
      <c r="C1459">
        <v>0</v>
      </c>
      <c r="D1459">
        <v>666.26400000000001</v>
      </c>
    </row>
    <row r="1460" spans="1:4">
      <c r="A1460" t="str">
        <f>"16546-JD20B"</f>
        <v>16546-JD20B</v>
      </c>
      <c r="B1460" t="str">
        <f t="shared" si="22"/>
        <v>Фильтр воздуха</v>
      </c>
      <c r="C1460">
        <v>36</v>
      </c>
      <c r="D1460">
        <v>604.65599999999995</v>
      </c>
    </row>
    <row r="1461" spans="1:4">
      <c r="A1461" t="str">
        <f>"16546-JF00A"</f>
        <v>16546-JF00A</v>
      </c>
      <c r="B1461" t="str">
        <f t="shared" si="22"/>
        <v>Фильтр воздуха</v>
      </c>
      <c r="C1461">
        <v>6</v>
      </c>
      <c r="D1461">
        <v>806.61599999999987</v>
      </c>
    </row>
    <row r="1462" spans="1:4">
      <c r="A1462" t="str">
        <f>"16546-JG30A"</f>
        <v>16546-JG30A</v>
      </c>
      <c r="B1462" t="str">
        <f t="shared" si="22"/>
        <v>Фильтр воздуха</v>
      </c>
      <c r="C1462">
        <v>14</v>
      </c>
      <c r="D1462">
        <v>679.72800000000007</v>
      </c>
    </row>
    <row r="1463" spans="1:4">
      <c r="A1463" t="str">
        <f>"16546-JK20A"</f>
        <v>16546-JK20A</v>
      </c>
      <c r="B1463" t="str">
        <f t="shared" si="22"/>
        <v>Фильтр воздуха</v>
      </c>
      <c r="C1463">
        <v>0</v>
      </c>
      <c r="D1463">
        <v>667.07999999999993</v>
      </c>
    </row>
    <row r="1464" spans="1:4">
      <c r="A1464" t="str">
        <f>"16546-MA70C"</f>
        <v>16546-MA70C</v>
      </c>
      <c r="B1464" t="str">
        <f t="shared" si="22"/>
        <v>Фильтр воздуха</v>
      </c>
      <c r="C1464">
        <v>2</v>
      </c>
      <c r="D1464">
        <v>978.38400000000001</v>
      </c>
    </row>
    <row r="1465" spans="1:4">
      <c r="A1465" t="str">
        <f>"16546-T9300"</f>
        <v>16546-T9300</v>
      </c>
      <c r="B1465" t="str">
        <f>"ELEMENT ASSY"</f>
        <v>ELEMENT ASSY</v>
      </c>
      <c r="C1465">
        <v>1</v>
      </c>
      <c r="D1465">
        <v>483.072</v>
      </c>
    </row>
    <row r="1466" spans="1:4">
      <c r="A1466" t="str">
        <f>"16546-T9301"</f>
        <v>16546-T9301</v>
      </c>
      <c r="B1466" t="str">
        <f>"ELEMENT-ASSY"</f>
        <v>ELEMENT-ASSY</v>
      </c>
      <c r="C1466">
        <v>2</v>
      </c>
      <c r="D1466">
        <v>643.82399999999996</v>
      </c>
    </row>
    <row r="1467" spans="1:4">
      <c r="A1467" t="str">
        <f>"16546-VB700"</f>
        <v>16546-VB700</v>
      </c>
      <c r="B1467" t="str">
        <f>"ELEMENT AIR"</f>
        <v>ELEMENT AIR</v>
      </c>
      <c r="C1467">
        <v>10</v>
      </c>
      <c r="D1467">
        <v>776.83199999999999</v>
      </c>
    </row>
    <row r="1468" spans="1:4">
      <c r="A1468" t="str">
        <f>"16546-VC10A"</f>
        <v>16546-VC10A</v>
      </c>
      <c r="B1468" t="str">
        <f>"Фильтр воздуха"</f>
        <v>Фильтр воздуха</v>
      </c>
      <c r="C1468">
        <v>46</v>
      </c>
      <c r="D1468">
        <v>661.77599999999995</v>
      </c>
    </row>
    <row r="1469" spans="1:4">
      <c r="A1469" t="str">
        <f>"16546-VM00A"</f>
        <v>16546-VM00A</v>
      </c>
      <c r="B1469" t="str">
        <f>"Фильтр воздуха"</f>
        <v>Фильтр воздуха</v>
      </c>
      <c r="C1469">
        <v>2</v>
      </c>
      <c r="D1469">
        <v>661.77599999999995</v>
      </c>
    </row>
    <row r="1470" spans="1:4">
      <c r="A1470" t="str">
        <f>"16554-1AA0A"</f>
        <v>16554-1AA0A</v>
      </c>
      <c r="B1470" t="str">
        <f>"Воздуховод"</f>
        <v>Воздуховод</v>
      </c>
      <c r="C1470">
        <v>0</v>
      </c>
      <c r="D1470">
        <v>3414.1439999999998</v>
      </c>
    </row>
    <row r="1471" spans="1:4">
      <c r="A1471" t="str">
        <f>"16554-1CB0B"</f>
        <v>16554-1CB0B</v>
      </c>
      <c r="B1471" t="str">
        <f>"Воздуховод"</f>
        <v>Воздуховод</v>
      </c>
      <c r="C1471">
        <v>2</v>
      </c>
      <c r="D1471">
        <v>10331.784</v>
      </c>
    </row>
    <row r="1472" spans="1:4">
      <c r="A1472" t="str">
        <f>"16554-1KA0B"</f>
        <v>16554-1KA0B</v>
      </c>
      <c r="B1472" t="str">
        <f>"Воздуховод"</f>
        <v>Воздуховод</v>
      </c>
      <c r="C1472">
        <v>0</v>
      </c>
      <c r="D1472">
        <v>2441.4719999999998</v>
      </c>
    </row>
    <row r="1473" spans="1:4">
      <c r="A1473" t="str">
        <f>"16554-9Y500"</f>
        <v>16554-9Y500</v>
      </c>
      <c r="B1473" t="str">
        <f>"Воздуховод"</f>
        <v>Воздуховод</v>
      </c>
      <c r="C1473">
        <v>7</v>
      </c>
      <c r="D1473">
        <v>3005.7360000000003</v>
      </c>
    </row>
    <row r="1474" spans="1:4">
      <c r="A1474" t="str">
        <f>"16554-AM61A"</f>
        <v>16554-AM61A</v>
      </c>
      <c r="B1474" t="str">
        <f>"Воздуховод"</f>
        <v>Воздуховод</v>
      </c>
      <c r="C1474">
        <v>0</v>
      </c>
      <c r="D1474">
        <v>2201.5680000000002</v>
      </c>
    </row>
    <row r="1475" spans="1:4">
      <c r="A1475" t="str">
        <f>"16554-AU000"</f>
        <v>16554-AU000</v>
      </c>
      <c r="B1475" t="str">
        <f>"DUCT ASSY-AIR"</f>
        <v>DUCT ASSY-AIR</v>
      </c>
      <c r="C1475">
        <v>2</v>
      </c>
      <c r="D1475">
        <v>1627.5119999999999</v>
      </c>
    </row>
    <row r="1476" spans="1:4">
      <c r="A1476" t="str">
        <f>"16554-BC000"</f>
        <v>16554-BC000</v>
      </c>
      <c r="B1476" t="str">
        <f>"Воздуховод"</f>
        <v>Воздуховод</v>
      </c>
      <c r="C1476">
        <v>8</v>
      </c>
      <c r="D1476">
        <v>2094.2640000000001</v>
      </c>
    </row>
    <row r="1477" spans="1:4">
      <c r="A1477" t="str">
        <f>"16554-BC20A"</f>
        <v>16554-BC20A</v>
      </c>
      <c r="B1477" t="str">
        <f>"Ваздуховод"</f>
        <v>Ваздуховод</v>
      </c>
      <c r="C1477">
        <v>5</v>
      </c>
      <c r="D1477">
        <v>3536.5439999999999</v>
      </c>
    </row>
    <row r="1478" spans="1:4">
      <c r="A1478" t="str">
        <f>"16554-BC21B"</f>
        <v>16554-BC21B</v>
      </c>
      <c r="B1478" t="str">
        <f>"Воздуховод"</f>
        <v>Воздуховод</v>
      </c>
      <c r="C1478">
        <v>5</v>
      </c>
      <c r="D1478">
        <v>1569.9839999999999</v>
      </c>
    </row>
    <row r="1479" spans="1:4">
      <c r="A1479" t="str">
        <f>"16554-CC00B"</f>
        <v>16554-CC00B</v>
      </c>
      <c r="B1479" t="str">
        <f>"Воздуховод"</f>
        <v>Воздуховод</v>
      </c>
      <c r="C1479">
        <v>0</v>
      </c>
      <c r="D1479">
        <v>3118.3439999999996</v>
      </c>
    </row>
    <row r="1480" spans="1:4">
      <c r="A1480" t="str">
        <f>"16554-ED000"</f>
        <v>16554-ED000</v>
      </c>
      <c r="B1480" t="str">
        <f>"Воздуховод"</f>
        <v>Воздуховод</v>
      </c>
      <c r="C1480">
        <v>5</v>
      </c>
      <c r="D1480">
        <v>1498.1759999999999</v>
      </c>
    </row>
    <row r="1481" spans="1:4">
      <c r="A1481" t="str">
        <f>"16554-JG00A"</f>
        <v>16554-JG00A</v>
      </c>
      <c r="B1481" t="str">
        <f>"Воздуховод"</f>
        <v>Воздуховод</v>
      </c>
      <c r="C1481">
        <v>6</v>
      </c>
      <c r="D1481">
        <v>3955.9679999999998</v>
      </c>
    </row>
    <row r="1482" spans="1:4">
      <c r="A1482" t="str">
        <f>"16554-JN20A"</f>
        <v>16554-JN20A</v>
      </c>
      <c r="B1482" t="str">
        <f>"Воздуховод"</f>
        <v>Воздуховод</v>
      </c>
      <c r="C1482">
        <v>7</v>
      </c>
      <c r="D1482">
        <v>3463.5120000000002</v>
      </c>
    </row>
    <row r="1483" spans="1:4">
      <c r="A1483" t="str">
        <f>"16555-8H303"</f>
        <v>16555-8H303</v>
      </c>
      <c r="B1483" t="str">
        <f>"DUCT ASSY-AIR"</f>
        <v>DUCT ASSY-AIR</v>
      </c>
      <c r="C1483">
        <v>2</v>
      </c>
      <c r="D1483">
        <v>1245.624</v>
      </c>
    </row>
    <row r="1484" spans="1:4">
      <c r="A1484" t="str">
        <f>"16563-ED000"</f>
        <v>16563-ED000</v>
      </c>
      <c r="B1484" t="str">
        <f>"Корпус воздушного фи"</f>
        <v>Корпус воздушного фи</v>
      </c>
      <c r="C1484">
        <v>0</v>
      </c>
      <c r="D1484">
        <v>770.30399999999997</v>
      </c>
    </row>
    <row r="1485" spans="1:4">
      <c r="A1485" t="str">
        <f>"16565-3J310"</f>
        <v>16565-3J310</v>
      </c>
      <c r="B1485" t="str">
        <f>"FILTER ASSY"</f>
        <v>FILTER ASSY</v>
      </c>
      <c r="C1485">
        <v>9</v>
      </c>
      <c r="D1485">
        <v>171.36</v>
      </c>
    </row>
    <row r="1486" spans="1:4">
      <c r="A1486" t="str">
        <f>"16565-53J01"</f>
        <v>16565-53J01</v>
      </c>
      <c r="B1486" t="str">
        <f>"FILTER ASSY"</f>
        <v>FILTER ASSY</v>
      </c>
      <c r="C1486">
        <v>36</v>
      </c>
      <c r="D1486">
        <v>58.343999999999994</v>
      </c>
    </row>
    <row r="1487" spans="1:4">
      <c r="A1487" t="str">
        <f>"16565-73C00"</f>
        <v>16565-73C00</v>
      </c>
      <c r="B1487" t="str">
        <f>"FILTER ASSY"</f>
        <v>FILTER ASSY</v>
      </c>
      <c r="C1487">
        <v>24</v>
      </c>
      <c r="D1487">
        <v>160.75200000000001</v>
      </c>
    </row>
    <row r="1488" spans="1:4">
      <c r="A1488" t="str">
        <f>"16565-89W00"</f>
        <v>16565-89W00</v>
      </c>
      <c r="B1488" t="str">
        <f>"FILTER"</f>
        <v>FILTER</v>
      </c>
      <c r="C1488">
        <v>11</v>
      </c>
      <c r="D1488">
        <v>90.167999999999992</v>
      </c>
    </row>
    <row r="1489" spans="1:4">
      <c r="A1489" t="str">
        <f>"16573-95F0A"</f>
        <v>16573-95F0A</v>
      </c>
      <c r="B1489" t="str">
        <f>"Воздуховод"</f>
        <v>Воздуховод</v>
      </c>
      <c r="C1489">
        <v>5</v>
      </c>
      <c r="D1489">
        <v>1069.7760000000001</v>
      </c>
    </row>
    <row r="1490" spans="1:4">
      <c r="A1490" t="str">
        <f>"16576-JD00A"</f>
        <v>16576-JD00A</v>
      </c>
      <c r="B1490" t="str">
        <f>"Воздуховод"</f>
        <v>Воздуховод</v>
      </c>
      <c r="C1490">
        <v>1</v>
      </c>
      <c r="D1490">
        <v>1476.9599999999998</v>
      </c>
    </row>
    <row r="1491" spans="1:4">
      <c r="A1491" t="str">
        <f>"16578-9Y49A"</f>
        <v>16578-9Y49A</v>
      </c>
      <c r="B1491" t="str">
        <f>"Воздуховод"</f>
        <v>Воздуховод</v>
      </c>
      <c r="C1491">
        <v>2</v>
      </c>
      <c r="D1491">
        <v>801.72</v>
      </c>
    </row>
    <row r="1492" spans="1:4">
      <c r="A1492" t="str">
        <f>"16578-9Y59A"</f>
        <v>16578-9Y59A</v>
      </c>
      <c r="B1492" t="str">
        <f>"Воздуховод"</f>
        <v>Воздуховод</v>
      </c>
      <c r="C1492">
        <v>5</v>
      </c>
      <c r="D1492">
        <v>764.18400000000008</v>
      </c>
    </row>
    <row r="1493" spans="1:4">
      <c r="A1493" t="str">
        <f>"16578-JD200"</f>
        <v>16578-JD200</v>
      </c>
      <c r="B1493" t="str">
        <f>"Патрубок воздуховода"</f>
        <v>Патрубок воздуховода</v>
      </c>
      <c r="C1493">
        <v>6</v>
      </c>
      <c r="D1493">
        <v>968.59199999999987</v>
      </c>
    </row>
    <row r="1494" spans="1:4">
      <c r="A1494" t="str">
        <f>"16578-JG00A"</f>
        <v>16578-JG00A</v>
      </c>
      <c r="B1494" t="str">
        <f>"Патрубок воздуховода"</f>
        <v>Патрубок воздуховода</v>
      </c>
      <c r="C1494">
        <v>2</v>
      </c>
      <c r="D1494">
        <v>517.34399999999994</v>
      </c>
    </row>
    <row r="1495" spans="1:4">
      <c r="A1495" t="str">
        <f>"16578-JG30A"</f>
        <v>16578-JG30A</v>
      </c>
      <c r="B1495" t="str">
        <f>"Патрубок воздуховода"</f>
        <v>Патрубок воздуховода</v>
      </c>
      <c r="C1495">
        <v>1</v>
      </c>
      <c r="D1495">
        <v>675.24</v>
      </c>
    </row>
    <row r="1496" spans="1:4">
      <c r="A1496" t="str">
        <f>"16578-VC11B"</f>
        <v>16578-VC11B</v>
      </c>
      <c r="B1496" t="str">
        <f>"Патрубок воздуховода"</f>
        <v>Патрубок воздуховода</v>
      </c>
      <c r="C1496">
        <v>2</v>
      </c>
      <c r="D1496">
        <v>4558.9919999999993</v>
      </c>
    </row>
    <row r="1497" spans="1:4">
      <c r="A1497" t="str">
        <f>"16578-VC12A"</f>
        <v>16578-VC12A</v>
      </c>
      <c r="B1497" t="str">
        <f>"Патрубок воздуховода"</f>
        <v>Патрубок воздуховода</v>
      </c>
      <c r="C1497">
        <v>12</v>
      </c>
      <c r="D1497">
        <v>4268.4960000000001</v>
      </c>
    </row>
    <row r="1498" spans="1:4">
      <c r="A1498" t="str">
        <f>"16585-5M000"</f>
        <v>16585-5M000</v>
      </c>
      <c r="B1498" t="str">
        <f>"RESONATOR ASSY"</f>
        <v>RESONATOR ASSY</v>
      </c>
      <c r="C1498">
        <v>3</v>
      </c>
      <c r="D1498">
        <v>2438.2079999999996</v>
      </c>
    </row>
    <row r="1499" spans="1:4">
      <c r="A1499" t="str">
        <f>"16585-6N00A"</f>
        <v>16585-6N00A</v>
      </c>
      <c r="B1499" t="str">
        <f t="shared" ref="B1499:B1504" si="23">"Резонатор воздуховод"</f>
        <v>Резонатор воздуховод</v>
      </c>
      <c r="C1499">
        <v>5</v>
      </c>
      <c r="D1499">
        <v>2416.9920000000002</v>
      </c>
    </row>
    <row r="1500" spans="1:4">
      <c r="A1500" t="str">
        <f>"16585-6N20A"</f>
        <v>16585-6N20A</v>
      </c>
      <c r="B1500" t="str">
        <f t="shared" si="23"/>
        <v>Резонатор воздуховод</v>
      </c>
      <c r="C1500">
        <v>3</v>
      </c>
      <c r="D1500">
        <v>2772.7679999999996</v>
      </c>
    </row>
    <row r="1501" spans="1:4">
      <c r="A1501" t="str">
        <f>"16585-8H30A"</f>
        <v>16585-8H30A</v>
      </c>
      <c r="B1501" t="str">
        <f t="shared" si="23"/>
        <v>Резонатор воздуховод</v>
      </c>
      <c r="C1501">
        <v>4</v>
      </c>
      <c r="D1501">
        <v>2525.52</v>
      </c>
    </row>
    <row r="1502" spans="1:4">
      <c r="A1502" t="str">
        <f>"16585-95F0D"</f>
        <v>16585-95F0D</v>
      </c>
      <c r="B1502" t="str">
        <f t="shared" si="23"/>
        <v>Резонатор воздуховод</v>
      </c>
      <c r="C1502">
        <v>8</v>
      </c>
      <c r="D1502">
        <v>2254.1999999999998</v>
      </c>
    </row>
    <row r="1503" spans="1:4">
      <c r="A1503" t="str">
        <f>"16585-9Y500"</f>
        <v>16585-9Y500</v>
      </c>
      <c r="B1503" t="str">
        <f t="shared" si="23"/>
        <v>Резонатор воздуховод</v>
      </c>
      <c r="C1503">
        <v>9</v>
      </c>
      <c r="D1503">
        <v>2226.864</v>
      </c>
    </row>
    <row r="1504" spans="1:4">
      <c r="A1504" t="str">
        <f>"16585-AU00A"</f>
        <v>16585-AU00A</v>
      </c>
      <c r="B1504" t="str">
        <f t="shared" si="23"/>
        <v>Резонатор воздуховод</v>
      </c>
      <c r="C1504">
        <v>5</v>
      </c>
      <c r="D1504">
        <v>3899.6639999999998</v>
      </c>
    </row>
    <row r="1505" spans="1:4">
      <c r="A1505" t="str">
        <f>"16585-BU000"</f>
        <v>16585-BU000</v>
      </c>
      <c r="B1505" t="str">
        <f>"РЕЗОНАТОР ВОЗДУХ"</f>
        <v>РЕЗОНАТОР ВОЗДУХ</v>
      </c>
      <c r="C1505">
        <v>0</v>
      </c>
      <c r="D1505">
        <v>3899.6639999999998</v>
      </c>
    </row>
    <row r="1506" spans="1:4">
      <c r="A1506" t="str">
        <f>"16585-CA000"</f>
        <v>16585-CA000</v>
      </c>
      <c r="B1506" t="str">
        <f>"RESONATOR"</f>
        <v>RESONATOR</v>
      </c>
      <c r="C1506">
        <v>1</v>
      </c>
      <c r="D1506">
        <v>3703.8239999999996</v>
      </c>
    </row>
    <row r="1507" spans="1:4">
      <c r="A1507" t="str">
        <f>"16585-JD200"</f>
        <v>16585-JD200</v>
      </c>
      <c r="B1507" t="str">
        <f>"Резонатор воздуховод"</f>
        <v>Резонатор воздуховод</v>
      </c>
      <c r="C1507">
        <v>13</v>
      </c>
      <c r="D1507">
        <v>2271.7439999999997</v>
      </c>
    </row>
    <row r="1508" spans="1:4">
      <c r="A1508" t="str">
        <f>"16585-JG00A"</f>
        <v>16585-JG00A</v>
      </c>
      <c r="B1508" t="str">
        <f>"Резонатор воздуховод"</f>
        <v>Резонатор воздуховод</v>
      </c>
      <c r="C1508">
        <v>17</v>
      </c>
      <c r="D1508">
        <v>3636.096</v>
      </c>
    </row>
    <row r="1509" spans="1:4">
      <c r="A1509" t="str">
        <f>"16585-JG30A"</f>
        <v>16585-JG30A</v>
      </c>
      <c r="B1509" t="str">
        <f>"Резонатор воздуховод"</f>
        <v>Резонатор воздуховод</v>
      </c>
      <c r="C1509">
        <v>8</v>
      </c>
      <c r="D1509">
        <v>3715.2479999999996</v>
      </c>
    </row>
    <row r="1510" spans="1:4">
      <c r="A1510" t="str">
        <f>"16590-5M00A"</f>
        <v>16590-5M00A</v>
      </c>
      <c r="B1510" t="str">
        <f>"Кожух выпускного кол"</f>
        <v>Кожух выпускного кол</v>
      </c>
      <c r="C1510">
        <v>1</v>
      </c>
      <c r="D1510">
        <v>1380.6719999999998</v>
      </c>
    </row>
    <row r="1511" spans="1:4">
      <c r="A1511" t="str">
        <f>"16590-BX000"</f>
        <v>16590-BX000</v>
      </c>
      <c r="B1511" t="str">
        <f>"Кожух выпускного кол"</f>
        <v>Кожух выпускного кол</v>
      </c>
      <c r="C1511">
        <v>1</v>
      </c>
      <c r="D1511">
        <v>1114.6559999999999</v>
      </c>
    </row>
    <row r="1512" spans="1:4">
      <c r="A1512" t="str">
        <f>"16598-EC00A"</f>
        <v>16598-EC00A</v>
      </c>
      <c r="B1512" t="str">
        <f>"Хомут воздуховод"</f>
        <v>Хомут воздуховод</v>
      </c>
      <c r="C1512">
        <v>34</v>
      </c>
      <c r="D1512">
        <v>90.983999999999995</v>
      </c>
    </row>
    <row r="1513" spans="1:4">
      <c r="A1513" t="str">
        <f>"16600-00Q0A"</f>
        <v>16600-00Q0A</v>
      </c>
      <c r="B1513" t="str">
        <f>"INJECTOR ASSY-F"</f>
        <v>INJECTOR ASSY-F</v>
      </c>
      <c r="C1513">
        <v>0</v>
      </c>
      <c r="D1513">
        <v>8181.6239999999998</v>
      </c>
    </row>
    <row r="1514" spans="1:4">
      <c r="A1514" t="str">
        <f>"16600-73C00"</f>
        <v>16600-73C00</v>
      </c>
      <c r="B1514" t="str">
        <f>"INJECTOR-FUEL"</f>
        <v>INJECTOR-FUEL</v>
      </c>
      <c r="C1514">
        <v>1</v>
      </c>
      <c r="D1514">
        <v>2852.7360000000003</v>
      </c>
    </row>
    <row r="1515" spans="1:4">
      <c r="A1515" t="str">
        <f>"16600-8H800"</f>
        <v>16600-8H800</v>
      </c>
      <c r="B1515" t="str">
        <f>"INJECTOR ASSY-F"</f>
        <v>INJECTOR ASSY-F</v>
      </c>
      <c r="C1515">
        <v>9</v>
      </c>
      <c r="D1515">
        <v>15816.936</v>
      </c>
    </row>
    <row r="1516" spans="1:4">
      <c r="A1516" t="str">
        <f>"16600-95F0A"</f>
        <v>16600-95F0A</v>
      </c>
      <c r="B1516" t="str">
        <f t="shared" ref="B1516:B1521" si="24">"Форсунка топливн"</f>
        <v>Форсунка топливн</v>
      </c>
      <c r="C1516">
        <v>4</v>
      </c>
      <c r="D1516">
        <v>3035.52</v>
      </c>
    </row>
    <row r="1517" spans="1:4">
      <c r="A1517" t="str">
        <f>"16600-AW421"</f>
        <v>16600-AW421</v>
      </c>
      <c r="B1517" t="str">
        <f t="shared" si="24"/>
        <v>Форсунка топливн</v>
      </c>
      <c r="C1517">
        <v>8</v>
      </c>
      <c r="D1517">
        <v>13761.84</v>
      </c>
    </row>
    <row r="1518" spans="1:4">
      <c r="A1518" t="str">
        <f>"16600-EB30E"</f>
        <v>16600-EB30E</v>
      </c>
      <c r="B1518" t="str">
        <f t="shared" si="24"/>
        <v>Форсунка топливн</v>
      </c>
      <c r="C1518">
        <v>13</v>
      </c>
      <c r="D1518">
        <v>12682.679999999998</v>
      </c>
    </row>
    <row r="1519" spans="1:4">
      <c r="A1519" t="str">
        <f>"16600-EB70D"</f>
        <v>16600-EB70D</v>
      </c>
      <c r="B1519" t="str">
        <f t="shared" si="24"/>
        <v>Форсунка топливн</v>
      </c>
      <c r="C1519">
        <v>8</v>
      </c>
      <c r="D1519">
        <v>15645.167999999998</v>
      </c>
    </row>
    <row r="1520" spans="1:4">
      <c r="A1520" t="str">
        <f>"16600-ED000"</f>
        <v>16600-ED000</v>
      </c>
      <c r="B1520" t="str">
        <f t="shared" si="24"/>
        <v>Форсунка топливн</v>
      </c>
      <c r="C1520">
        <v>4</v>
      </c>
      <c r="D1520">
        <v>2971.4639999999995</v>
      </c>
    </row>
    <row r="1521" spans="1:4">
      <c r="A1521" t="str">
        <f>"16600-ES60A"</f>
        <v>16600-ES60A</v>
      </c>
      <c r="B1521" t="str">
        <f t="shared" si="24"/>
        <v>Форсунка топливн</v>
      </c>
      <c r="C1521">
        <v>5</v>
      </c>
      <c r="D1521">
        <v>15627.216</v>
      </c>
    </row>
    <row r="1522" spans="1:4">
      <c r="A1522" t="str">
        <f>"16600-VB327"</f>
        <v>16600-VB327</v>
      </c>
      <c r="B1522" t="str">
        <f>"NOZZLE &amp; HOLDER"</f>
        <v>NOZZLE &amp; HOLDER</v>
      </c>
      <c r="C1522">
        <v>9</v>
      </c>
      <c r="D1522">
        <v>7762.6080000000002</v>
      </c>
    </row>
    <row r="1523" spans="1:4">
      <c r="A1523" t="str">
        <f>"16618-10V05"</f>
        <v>16618-10V05</v>
      </c>
      <c r="B1523" t="str">
        <f>"O RING"</f>
        <v>O RING</v>
      </c>
      <c r="C1523">
        <v>0</v>
      </c>
      <c r="D1523">
        <v>76.295999999999992</v>
      </c>
    </row>
    <row r="1524" spans="1:4">
      <c r="A1524" t="str">
        <f>"16618-10V10"</f>
        <v>16618-10V10</v>
      </c>
      <c r="B1524" t="str">
        <f>"O RING"</f>
        <v>O RING</v>
      </c>
      <c r="C1524">
        <v>5</v>
      </c>
      <c r="D1524">
        <v>40.799999999999997</v>
      </c>
    </row>
    <row r="1525" spans="1:4">
      <c r="A1525" t="str">
        <f>"16618-2W200"</f>
        <v>16618-2W200</v>
      </c>
      <c r="B1525" t="str">
        <f>"SEAL-O RING,NOZ"</f>
        <v>SEAL-O RING,NOZ</v>
      </c>
      <c r="C1525">
        <v>45</v>
      </c>
      <c r="D1525">
        <v>88.128</v>
      </c>
    </row>
    <row r="1526" spans="1:4">
      <c r="A1526" t="str">
        <f>"16618-38Y00"</f>
        <v>16618-38Y00</v>
      </c>
      <c r="B1526" t="str">
        <f>"O RING"</f>
        <v>O RING</v>
      </c>
      <c r="C1526">
        <v>10</v>
      </c>
      <c r="D1526">
        <v>117.91200000000001</v>
      </c>
    </row>
    <row r="1527" spans="1:4">
      <c r="A1527" t="str">
        <f>"16618-38Y10"</f>
        <v>16618-38Y10</v>
      </c>
      <c r="B1527" t="str">
        <f>"O RING"</f>
        <v>O RING</v>
      </c>
      <c r="C1527">
        <v>24</v>
      </c>
      <c r="D1527">
        <v>77.52</v>
      </c>
    </row>
    <row r="1528" spans="1:4">
      <c r="A1528" t="str">
        <f>"16618-41B10"</f>
        <v>16618-41B10</v>
      </c>
      <c r="B1528" t="str">
        <f>"O RING"</f>
        <v>O RING</v>
      </c>
      <c r="C1528">
        <v>6</v>
      </c>
      <c r="D1528">
        <v>32.64</v>
      </c>
    </row>
    <row r="1529" spans="1:4">
      <c r="A1529" t="str">
        <f>"16618-4M501"</f>
        <v>16618-4M501</v>
      </c>
      <c r="B1529" t="str">
        <f>"SEAL-O RING"</f>
        <v>SEAL-O RING</v>
      </c>
      <c r="C1529">
        <v>41</v>
      </c>
      <c r="D1529">
        <v>92.207999999999998</v>
      </c>
    </row>
    <row r="1530" spans="1:4">
      <c r="A1530" t="str">
        <f>"16618-4W001"</f>
        <v>16618-4W001</v>
      </c>
      <c r="B1530" t="str">
        <f>"Уплотнительное кольц"</f>
        <v>Уплотнительное кольц</v>
      </c>
      <c r="C1530">
        <v>5</v>
      </c>
      <c r="D1530">
        <v>67.727999999999994</v>
      </c>
    </row>
    <row r="1531" spans="1:4">
      <c r="A1531" t="str">
        <f>"16618-53J00"</f>
        <v>16618-53J00</v>
      </c>
      <c r="B1531" t="str">
        <f>"O RING"</f>
        <v>O RING</v>
      </c>
      <c r="C1531">
        <v>14</v>
      </c>
      <c r="D1531">
        <v>29.375999999999998</v>
      </c>
    </row>
    <row r="1532" spans="1:4">
      <c r="A1532" t="str">
        <f>"16618-5L300"</f>
        <v>16618-5L300</v>
      </c>
      <c r="B1532" t="str">
        <f>"SEAL-O RING"</f>
        <v>SEAL-O RING</v>
      </c>
      <c r="C1532">
        <v>58</v>
      </c>
      <c r="D1532">
        <v>136.27199999999999</v>
      </c>
    </row>
    <row r="1533" spans="1:4">
      <c r="A1533" t="str">
        <f>"16618-5L310"</f>
        <v>16618-5L310</v>
      </c>
      <c r="B1533" t="str">
        <f>"O RING"</f>
        <v>O RING</v>
      </c>
      <c r="C1533">
        <v>61</v>
      </c>
      <c r="D1533">
        <v>139.94399999999999</v>
      </c>
    </row>
    <row r="1534" spans="1:4">
      <c r="A1534" t="str">
        <f>"16618-5M100"</f>
        <v>16618-5M100</v>
      </c>
      <c r="B1534" t="str">
        <f>"O RING"</f>
        <v>O RING</v>
      </c>
      <c r="C1534">
        <v>51</v>
      </c>
      <c r="D1534">
        <v>81.599999999999994</v>
      </c>
    </row>
    <row r="1535" spans="1:4">
      <c r="A1535" t="str">
        <f>"16618-73C00"</f>
        <v>16618-73C00</v>
      </c>
      <c r="B1535" t="str">
        <f>"O RING"</f>
        <v>O RING</v>
      </c>
      <c r="C1535">
        <v>15</v>
      </c>
      <c r="D1535">
        <v>32.64</v>
      </c>
    </row>
    <row r="1536" spans="1:4">
      <c r="A1536" t="str">
        <f>"16618-73C10"</f>
        <v>16618-73C10</v>
      </c>
      <c r="B1536" t="str">
        <f>"O RING"</f>
        <v>O RING</v>
      </c>
      <c r="C1536">
        <v>49</v>
      </c>
      <c r="D1536">
        <v>31.823999999999998</v>
      </c>
    </row>
    <row r="1537" spans="1:4">
      <c r="A1537" t="str">
        <f>"16618-78A00"</f>
        <v>16618-78A00</v>
      </c>
      <c r="B1537" t="str">
        <f>"O RING"</f>
        <v>O RING</v>
      </c>
      <c r="C1537">
        <v>38</v>
      </c>
      <c r="D1537">
        <v>85.272000000000006</v>
      </c>
    </row>
    <row r="1538" spans="1:4">
      <c r="A1538" t="str">
        <f>"16618-8H800"</f>
        <v>16618-8H800</v>
      </c>
      <c r="B1538" t="str">
        <f>"SEAL-O RING,NOZ"</f>
        <v>SEAL-O RING,NOZ</v>
      </c>
      <c r="C1538">
        <v>3</v>
      </c>
      <c r="D1538">
        <v>86.903999999999996</v>
      </c>
    </row>
    <row r="1539" spans="1:4">
      <c r="A1539" t="str">
        <f>"16618-AD200"</f>
        <v>16618-AD200</v>
      </c>
      <c r="B1539" t="str">
        <f>"Уплотнительное кольц"</f>
        <v>Уплотнительное кольц</v>
      </c>
      <c r="C1539">
        <v>71</v>
      </c>
      <c r="D1539">
        <v>93.432000000000002</v>
      </c>
    </row>
    <row r="1540" spans="1:4">
      <c r="A1540" t="str">
        <f>"16618-AX200"</f>
        <v>16618-AX200</v>
      </c>
      <c r="B1540" t="str">
        <f>"Уплотнительное кольц"</f>
        <v>Уплотнительное кольц</v>
      </c>
      <c r="C1540">
        <v>46</v>
      </c>
      <c r="D1540">
        <v>44.472000000000001</v>
      </c>
    </row>
    <row r="1541" spans="1:4">
      <c r="A1541" t="str">
        <f>"16618-DB000"</f>
        <v>16618-DB000</v>
      </c>
      <c r="B1541" t="str">
        <f>"Уплотнительное кольц"</f>
        <v>Уплотнительное кольц</v>
      </c>
      <c r="C1541">
        <v>4</v>
      </c>
      <c r="D1541">
        <v>90.167999999999992</v>
      </c>
    </row>
    <row r="1542" spans="1:4">
      <c r="A1542" t="str">
        <f>"16619-53J00"</f>
        <v>16619-53J00</v>
      </c>
      <c r="B1542" t="str">
        <f>"CAP-RUBBER"</f>
        <v>CAP-RUBBER</v>
      </c>
      <c r="C1542">
        <v>1</v>
      </c>
      <c r="D1542">
        <v>81.599999999999994</v>
      </c>
    </row>
    <row r="1543" spans="1:4">
      <c r="A1543" t="str">
        <f>"16620-VB325"</f>
        <v>16620-VB325</v>
      </c>
      <c r="B1543" t="str">
        <f>"NOZZLE ASSY"</f>
        <v>NOZZLE ASSY</v>
      </c>
      <c r="C1543">
        <v>20</v>
      </c>
      <c r="D1543">
        <v>2452.4879999999998</v>
      </c>
    </row>
    <row r="1544" spans="1:4">
      <c r="A1544" t="str">
        <f>"16625-05E00"</f>
        <v>16625-05E00</v>
      </c>
      <c r="B1544" t="str">
        <f>"WASHER"</f>
        <v>WASHER</v>
      </c>
      <c r="C1544">
        <v>43</v>
      </c>
      <c r="D1544">
        <v>59.567999999999998</v>
      </c>
    </row>
    <row r="1545" spans="1:4">
      <c r="A1545" t="str">
        <f>"16625-43G00"</f>
        <v>16625-43G00</v>
      </c>
      <c r="B1545" t="str">
        <f>"GASKET NOZZLE"</f>
        <v>GASKET NOZZLE</v>
      </c>
      <c r="C1545">
        <v>56</v>
      </c>
      <c r="D1545">
        <v>49.775999999999996</v>
      </c>
    </row>
    <row r="1546" spans="1:4">
      <c r="A1546" t="str">
        <f>"16625-G2401"</f>
        <v>16625-G2401</v>
      </c>
      <c r="B1546" t="str">
        <f>"GASKET"</f>
        <v>GASKET</v>
      </c>
      <c r="C1546">
        <v>10</v>
      </c>
      <c r="D1546">
        <v>61.608000000000004</v>
      </c>
    </row>
    <row r="1547" spans="1:4">
      <c r="A1547" t="str">
        <f>"16626-0M900"</f>
        <v>16626-0M900</v>
      </c>
      <c r="B1547" t="str">
        <f>"GASKET-NOZZLE"</f>
        <v>GASKET-NOZZLE</v>
      </c>
      <c r="C1547">
        <v>72</v>
      </c>
      <c r="D1547">
        <v>61.199999999999996</v>
      </c>
    </row>
    <row r="1548" spans="1:4">
      <c r="A1548" t="str">
        <f>"16626-43G00"</f>
        <v>16626-43G00</v>
      </c>
      <c r="B1548" t="str">
        <f>"GASKET-NOZZLE"</f>
        <v>GASKET-NOZZLE</v>
      </c>
      <c r="C1548">
        <v>120</v>
      </c>
      <c r="D1548">
        <v>48.959999999999994</v>
      </c>
    </row>
    <row r="1549" spans="1:4">
      <c r="A1549" t="str">
        <f>"16626-54T00"</f>
        <v>16626-54T00</v>
      </c>
      <c r="B1549" t="str">
        <f>"GASKET-NOZZLE"</f>
        <v>GASKET-NOZZLE</v>
      </c>
      <c r="C1549">
        <v>129</v>
      </c>
      <c r="D1549">
        <v>56.711999999999996</v>
      </c>
    </row>
    <row r="1550" spans="1:4">
      <c r="A1550" t="str">
        <f>"16626-V0702"</f>
        <v>16626-V0702</v>
      </c>
      <c r="B1550" t="str">
        <f>"GASKET-NOZZLE"</f>
        <v>GASKET-NOZZLE</v>
      </c>
      <c r="C1550">
        <v>70</v>
      </c>
      <c r="D1550">
        <v>44.472000000000001</v>
      </c>
    </row>
    <row r="1551" spans="1:4">
      <c r="A1551" t="str">
        <f>"16627-43G00"</f>
        <v>16627-43G00</v>
      </c>
      <c r="B1551" t="str">
        <f>"GASKET-NOZZLE"</f>
        <v>GASKET-NOZZLE</v>
      </c>
      <c r="C1551">
        <v>32</v>
      </c>
      <c r="D1551">
        <v>49.368000000000002</v>
      </c>
    </row>
    <row r="1552" spans="1:4">
      <c r="A1552" t="str">
        <f>"16627-AD200"</f>
        <v>16627-AD200</v>
      </c>
      <c r="B1552" t="str">
        <f>"GASKET"</f>
        <v>GASKET</v>
      </c>
      <c r="C1552">
        <v>15</v>
      </c>
      <c r="D1552">
        <v>51</v>
      </c>
    </row>
    <row r="1553" spans="1:4">
      <c r="A1553" t="str">
        <f>"16630-6J900"</f>
        <v>16630-6J900</v>
      </c>
      <c r="B1553" t="str">
        <f>"Насос топлива"</f>
        <v>Насос топлива</v>
      </c>
      <c r="C1553">
        <v>5</v>
      </c>
      <c r="D1553">
        <v>27515.927999999996</v>
      </c>
    </row>
    <row r="1554" spans="1:4">
      <c r="A1554" t="str">
        <f>"16635-16A00"</f>
        <v>16635-16A00</v>
      </c>
      <c r="B1554" t="str">
        <f>"GASKET-NOZZLE"</f>
        <v>GASKET-NOZZLE</v>
      </c>
      <c r="C1554">
        <v>144</v>
      </c>
      <c r="D1554">
        <v>54.672000000000004</v>
      </c>
    </row>
    <row r="1555" spans="1:4">
      <c r="A1555" t="str">
        <f>"16635-2W200"</f>
        <v>16635-2W200</v>
      </c>
      <c r="B1555" t="str">
        <f>"GASKET-NOZZLE"</f>
        <v>GASKET-NOZZLE</v>
      </c>
      <c r="C1555">
        <v>38</v>
      </c>
      <c r="D1555">
        <v>49.368000000000002</v>
      </c>
    </row>
    <row r="1556" spans="1:4">
      <c r="A1556" t="str">
        <f>"16635-78A00"</f>
        <v>16635-78A00</v>
      </c>
      <c r="B1556" t="str">
        <f>"INSULATOR-INJTR"</f>
        <v>INSULATOR-INJTR</v>
      </c>
      <c r="C1556">
        <v>0</v>
      </c>
      <c r="D1556">
        <v>102</v>
      </c>
    </row>
    <row r="1557" spans="1:4">
      <c r="A1557" t="str">
        <f>"16635-88G00"</f>
        <v>16635-88G00</v>
      </c>
      <c r="B1557" t="str">
        <f>"INSULATOR-INJTR"</f>
        <v>INSULATOR-INJTR</v>
      </c>
      <c r="C1557">
        <v>28</v>
      </c>
      <c r="D1557">
        <v>43.655999999999999</v>
      </c>
    </row>
    <row r="1558" spans="1:4">
      <c r="A1558" t="str">
        <f>"16635-8H800"</f>
        <v>16635-8H800</v>
      </c>
      <c r="B1558" t="str">
        <f>"GASKET-NOZZLE"</f>
        <v>GASKET-NOZZLE</v>
      </c>
      <c r="C1558">
        <v>21</v>
      </c>
      <c r="D1558">
        <v>69.768000000000001</v>
      </c>
    </row>
    <row r="1559" spans="1:4">
      <c r="A1559" t="str">
        <f>"16635-AD212"</f>
        <v>16635-AD212</v>
      </c>
      <c r="B1559" t="str">
        <f>"GASKET-NOZZLE"</f>
        <v>GASKET-NOZZLE</v>
      </c>
      <c r="C1559">
        <v>62</v>
      </c>
      <c r="D1559">
        <v>84.048000000000002</v>
      </c>
    </row>
    <row r="1560" spans="1:4">
      <c r="A1560" t="str">
        <f>"16636-V5000"</f>
        <v>16636-V5000</v>
      </c>
      <c r="B1560" t="str">
        <f>"INSULATOR-INJTR"</f>
        <v>INSULATOR-INJTR</v>
      </c>
      <c r="C1560">
        <v>29</v>
      </c>
      <c r="D1560">
        <v>46.511999999999993</v>
      </c>
    </row>
    <row r="1561" spans="1:4">
      <c r="A1561" t="str">
        <f>"16651-05E00"</f>
        <v>16651-05E00</v>
      </c>
      <c r="B1561" t="str">
        <f>"GASKET NOZZLE"</f>
        <v>GASKET NOZZLE</v>
      </c>
      <c r="C1561">
        <v>60</v>
      </c>
      <c r="D1561">
        <v>48.143999999999998</v>
      </c>
    </row>
    <row r="1562" spans="1:4">
      <c r="A1562" t="str">
        <f>"16670-06J0B"</f>
        <v>16670-06J0B</v>
      </c>
      <c r="B1562" t="str">
        <f>"Трубка подачи топлив"</f>
        <v>Трубка подачи топлив</v>
      </c>
      <c r="C1562">
        <v>3</v>
      </c>
      <c r="D1562">
        <v>1348.44</v>
      </c>
    </row>
    <row r="1563" spans="1:4">
      <c r="A1563" t="str">
        <f>"16670-43G0A"</f>
        <v>16670-43G0A</v>
      </c>
      <c r="B1563" t="str">
        <f>"Трубка подачи топлив"</f>
        <v>Трубка подачи топлив</v>
      </c>
      <c r="C1563">
        <v>8</v>
      </c>
      <c r="D1563">
        <v>899.64</v>
      </c>
    </row>
    <row r="1564" spans="1:4">
      <c r="A1564" t="str">
        <f>"16670-7F40A"</f>
        <v>16670-7F40A</v>
      </c>
      <c r="B1564" t="str">
        <f>"Трубка подачи топлив"</f>
        <v>Трубка подачи топлив</v>
      </c>
      <c r="C1564">
        <v>2</v>
      </c>
      <c r="D1564">
        <v>920.04000000000008</v>
      </c>
    </row>
    <row r="1565" spans="1:4">
      <c r="A1565" t="str">
        <f>"16671-81T00"</f>
        <v>16671-81T00</v>
      </c>
      <c r="B1565" t="str">
        <f>"TUBE-FUEL SPILL"</f>
        <v>TUBE-FUEL SPILL</v>
      </c>
      <c r="C1565">
        <v>4</v>
      </c>
      <c r="D1565">
        <v>945.3359999999999</v>
      </c>
    </row>
    <row r="1566" spans="1:4">
      <c r="A1566" t="str">
        <f>"16671-VB300"</f>
        <v>16671-VB300</v>
      </c>
      <c r="B1566" t="str">
        <f>"TUBE-FUEL SPILL"</f>
        <v>TUBE-FUEL SPILL</v>
      </c>
      <c r="C1566">
        <v>4</v>
      </c>
      <c r="D1566">
        <v>982.46399999999994</v>
      </c>
    </row>
    <row r="1567" spans="1:4">
      <c r="A1567" t="str">
        <f>"16680-EB31A"</f>
        <v>16680-EB31A</v>
      </c>
      <c r="B1567" t="str">
        <f>"Трубка топливная"</f>
        <v>Трубка топливная</v>
      </c>
      <c r="C1567">
        <v>0</v>
      </c>
      <c r="D1567">
        <v>840.4799999999999</v>
      </c>
    </row>
    <row r="1568" spans="1:4">
      <c r="A1568" t="str">
        <f>"16681-EB31A"</f>
        <v>16681-EB31A</v>
      </c>
      <c r="B1568" t="str">
        <f>"Трубка топливная"</f>
        <v>Трубка топливная</v>
      </c>
      <c r="C1568">
        <v>1</v>
      </c>
      <c r="D1568">
        <v>840.88800000000003</v>
      </c>
    </row>
    <row r="1569" spans="1:4">
      <c r="A1569" t="str">
        <f>"16682-EB31A"</f>
        <v>16682-EB31A</v>
      </c>
      <c r="B1569" t="str">
        <f>"Трубка топливная"</f>
        <v>Трубка топливная</v>
      </c>
      <c r="C1569">
        <v>0</v>
      </c>
      <c r="D1569">
        <v>849.86400000000003</v>
      </c>
    </row>
    <row r="1570" spans="1:4">
      <c r="A1570" t="str">
        <f>"16683-EB31A"</f>
        <v>16683-EB31A</v>
      </c>
      <c r="B1570" t="str">
        <f>"Трубка топливная"</f>
        <v>Трубка топливная</v>
      </c>
      <c r="C1570">
        <v>1</v>
      </c>
      <c r="D1570">
        <v>855.16800000000001</v>
      </c>
    </row>
    <row r="1571" spans="1:4">
      <c r="A1571" t="str">
        <f>"16700-ES61B"</f>
        <v>16700-ES61B</v>
      </c>
      <c r="B1571" t="str">
        <f>"Топливный насос высо"</f>
        <v>Топливный насос высо</v>
      </c>
      <c r="C1571">
        <v>1</v>
      </c>
      <c r="D1571">
        <v>54483.503999999994</v>
      </c>
    </row>
    <row r="1572" spans="1:4">
      <c r="A1572" t="str">
        <f>"16701-2W200"</f>
        <v>16701-2W200</v>
      </c>
      <c r="B1572" t="str">
        <f>"GASKET"</f>
        <v>GASKET</v>
      </c>
      <c r="C1572">
        <v>9</v>
      </c>
      <c r="D1572">
        <v>264.79199999999997</v>
      </c>
    </row>
    <row r="1573" spans="1:4">
      <c r="A1573" t="str">
        <f>"16735-2W200"</f>
        <v>16735-2W200</v>
      </c>
      <c r="B1573" t="str">
        <f>"GEAR-DRIVE INJE"</f>
        <v>GEAR-DRIVE INJE</v>
      </c>
      <c r="C1573">
        <v>6</v>
      </c>
      <c r="D1573">
        <v>2972.6879999999996</v>
      </c>
    </row>
    <row r="1574" spans="1:4">
      <c r="A1574" t="str">
        <f>"16781-AD205"</f>
        <v>16781-AD205</v>
      </c>
      <c r="B1574" t="str">
        <f>"O RING"</f>
        <v>O RING</v>
      </c>
      <c r="C1574">
        <v>25</v>
      </c>
      <c r="D1574">
        <v>179.51999999999998</v>
      </c>
    </row>
    <row r="1575" spans="1:4">
      <c r="A1575" t="str">
        <f>"16781-AD20A"</f>
        <v>16781-AD20A</v>
      </c>
      <c r="B1575" t="str">
        <f>"Уплотнительное кольц"</f>
        <v>Уплотнительное кольц</v>
      </c>
      <c r="C1575">
        <v>8</v>
      </c>
      <c r="D1575">
        <v>178.70399999999998</v>
      </c>
    </row>
    <row r="1576" spans="1:4">
      <c r="A1576" t="str">
        <f>"16794-10G01"</f>
        <v>16794-10G01</v>
      </c>
      <c r="B1576" t="str">
        <f>"GASKET-NOZZLE"</f>
        <v>GASKET-NOZZLE</v>
      </c>
      <c r="C1576">
        <v>0</v>
      </c>
      <c r="D1576">
        <v>46.92</v>
      </c>
    </row>
    <row r="1577" spans="1:4">
      <c r="A1577" t="str">
        <f>"16806-00QBB"</f>
        <v>16806-00QBB</v>
      </c>
      <c r="B1577" t="str">
        <f>"Ремень ТНВД зубчатый"</f>
        <v>Ремень ТНВД зубчатый</v>
      </c>
      <c r="C1577">
        <v>0</v>
      </c>
      <c r="D1577">
        <v>1426.7760000000001</v>
      </c>
    </row>
    <row r="1578" spans="1:4">
      <c r="A1578" t="str">
        <f>"16806-1C3X6"</f>
        <v>16806-1C3X6</v>
      </c>
      <c r="B1578" t="str">
        <f>"BELT-TIMING"</f>
        <v>BELT-TIMING</v>
      </c>
      <c r="C1578">
        <v>4</v>
      </c>
      <c r="D1578">
        <v>1136.6879999999999</v>
      </c>
    </row>
    <row r="1579" spans="1:4">
      <c r="A1579" t="str">
        <f>"16806-2J625"</f>
        <v>16806-2J625</v>
      </c>
      <c r="B1579" t="str">
        <f>"BELT-TIMING,RR"</f>
        <v>BELT-TIMING,RR</v>
      </c>
      <c r="C1579">
        <v>3</v>
      </c>
      <c r="D1579">
        <v>987.3599999999999</v>
      </c>
    </row>
    <row r="1580" spans="1:4">
      <c r="A1580" t="str">
        <f>"16806-3C925"</f>
        <v>16806-3C925</v>
      </c>
      <c r="B1580" t="str">
        <f>"BELT-TIMING,RR"</f>
        <v>BELT-TIMING,RR</v>
      </c>
      <c r="C1580">
        <v>0</v>
      </c>
      <c r="D1580">
        <v>1207.6799999999998</v>
      </c>
    </row>
    <row r="1581" spans="1:4">
      <c r="A1581" t="str">
        <f>"16806-9C600"</f>
        <v>16806-9C600</v>
      </c>
      <c r="B1581" t="str">
        <f>"BELT-TIMING"</f>
        <v>BELT-TIMING</v>
      </c>
      <c r="C1581">
        <v>4</v>
      </c>
      <c r="D1581">
        <v>1380.6719999999998</v>
      </c>
    </row>
    <row r="1582" spans="1:4">
      <c r="A1582" t="str">
        <f>"16806-G55X5"</f>
        <v>16806-G55X5</v>
      </c>
      <c r="B1582" t="str">
        <f>"Ремень ТНВД зубчатый"</f>
        <v>Ремень ТНВД зубчатый</v>
      </c>
      <c r="C1582">
        <v>3</v>
      </c>
      <c r="D1582">
        <v>1144.848</v>
      </c>
    </row>
    <row r="1583" spans="1:4">
      <c r="A1583" t="str">
        <f>"17010-53Y25"</f>
        <v>17010-53Y25</v>
      </c>
      <c r="B1583" t="str">
        <f>"PUMP ASSY-FUEL"</f>
        <v>PUMP ASSY-FUEL</v>
      </c>
      <c r="C1583">
        <v>14</v>
      </c>
      <c r="D1583">
        <v>1797.6479999999999</v>
      </c>
    </row>
    <row r="1584" spans="1:4">
      <c r="A1584" t="str">
        <f>"17040-95F0B"</f>
        <v>17040-95F0B</v>
      </c>
      <c r="B1584" t="str">
        <f>"Насос топлива"</f>
        <v>Насос топлива</v>
      </c>
      <c r="C1584">
        <v>27</v>
      </c>
      <c r="D1584">
        <v>7166.1120000000001</v>
      </c>
    </row>
    <row r="1585" spans="1:4">
      <c r="A1585" t="str">
        <f>"17040-9Y00A"</f>
        <v>17040-9Y00A</v>
      </c>
      <c r="B1585" t="str">
        <f>"Насос топлива"</f>
        <v>Насос топлива</v>
      </c>
      <c r="C1585">
        <v>9</v>
      </c>
      <c r="D1585">
        <v>8672.0399999999991</v>
      </c>
    </row>
    <row r="1586" spans="1:4">
      <c r="A1586" t="str">
        <f>"17040-AV705"</f>
        <v>17040-AV705</v>
      </c>
      <c r="B1586" t="str">
        <f>"PUMP COMPL-FUEL"</f>
        <v>PUMP COMPL-FUEL</v>
      </c>
      <c r="C1586">
        <v>4</v>
      </c>
      <c r="D1586">
        <v>10272.216</v>
      </c>
    </row>
    <row r="1587" spans="1:4">
      <c r="A1587" t="str">
        <f>"17040-AX01A"</f>
        <v>17040-AX01A</v>
      </c>
      <c r="B1587" t="str">
        <f>"Насос топлива"</f>
        <v>Насос топлива</v>
      </c>
      <c r="C1587">
        <v>14</v>
      </c>
      <c r="D1587">
        <v>7118.7839999999997</v>
      </c>
    </row>
    <row r="1588" spans="1:4">
      <c r="A1588" t="str">
        <f>"17040-BN800"</f>
        <v>17040-BN800</v>
      </c>
      <c r="B1588" t="str">
        <f>"PUMP COMPL-FUEL"</f>
        <v>PUMP COMPL-FUEL</v>
      </c>
      <c r="C1588">
        <v>4</v>
      </c>
      <c r="D1588">
        <v>9710.4</v>
      </c>
    </row>
    <row r="1589" spans="1:4">
      <c r="A1589" t="str">
        <f>"17040-BN805"</f>
        <v>17040-BN805</v>
      </c>
      <c r="B1589" t="str">
        <f>"PUMP COMPL-FUEL"</f>
        <v>PUMP COMPL-FUEL</v>
      </c>
      <c r="C1589">
        <v>2</v>
      </c>
      <c r="D1589">
        <v>10865.04</v>
      </c>
    </row>
    <row r="1590" spans="1:4">
      <c r="A1590" t="str">
        <f>"17040-CA000"</f>
        <v>17040-CA000</v>
      </c>
      <c r="B1590" t="str">
        <f t="shared" ref="B1590:B1599" si="25">"Насос топлива"</f>
        <v>Насос топлива</v>
      </c>
      <c r="C1590">
        <v>4</v>
      </c>
      <c r="D1590">
        <v>4410.8879999999999</v>
      </c>
    </row>
    <row r="1591" spans="1:4">
      <c r="A1591" t="str">
        <f>"17040-CB00A"</f>
        <v>17040-CB00A</v>
      </c>
      <c r="B1591" t="str">
        <f t="shared" si="25"/>
        <v>Насос топлива</v>
      </c>
      <c r="C1591">
        <v>3</v>
      </c>
      <c r="D1591">
        <v>4062.0479999999998</v>
      </c>
    </row>
    <row r="1592" spans="1:4">
      <c r="A1592" t="str">
        <f>"17040-CG00B"</f>
        <v>17040-CG00B</v>
      </c>
      <c r="B1592" t="str">
        <f t="shared" si="25"/>
        <v>Насос топлива</v>
      </c>
      <c r="C1592">
        <v>16</v>
      </c>
      <c r="D1592">
        <v>9091.8719999999994</v>
      </c>
    </row>
    <row r="1593" spans="1:4">
      <c r="A1593" t="str">
        <f>"17040-CG20B"</f>
        <v>17040-CG20B</v>
      </c>
      <c r="B1593" t="str">
        <f t="shared" si="25"/>
        <v>Насос топлива</v>
      </c>
      <c r="C1593">
        <v>3</v>
      </c>
      <c r="D1593">
        <v>9425.616</v>
      </c>
    </row>
    <row r="1594" spans="1:4">
      <c r="A1594" t="str">
        <f>"17040-EB80C"</f>
        <v>17040-EB80C</v>
      </c>
      <c r="B1594" t="str">
        <f t="shared" si="25"/>
        <v>Насос топлива</v>
      </c>
      <c r="C1594">
        <v>30</v>
      </c>
      <c r="D1594">
        <v>6607.9679999999998</v>
      </c>
    </row>
    <row r="1595" spans="1:4">
      <c r="A1595" t="str">
        <f>"17040-JD00A"</f>
        <v>17040-JD00A</v>
      </c>
      <c r="B1595" t="str">
        <f t="shared" si="25"/>
        <v>Насос топлива</v>
      </c>
      <c r="C1595">
        <v>15</v>
      </c>
      <c r="D1595">
        <v>7618.9919999999993</v>
      </c>
    </row>
    <row r="1596" spans="1:4">
      <c r="A1596" t="str">
        <f>"17040-JD01A"</f>
        <v>17040-JD01A</v>
      </c>
      <c r="B1596" t="str">
        <f t="shared" si="25"/>
        <v>Насос топлива</v>
      </c>
      <c r="C1596">
        <v>7</v>
      </c>
      <c r="D1596">
        <v>8281.1759999999995</v>
      </c>
    </row>
    <row r="1597" spans="1:4">
      <c r="A1597" t="str">
        <f>"17040-JG00D"</f>
        <v>17040-JG00D</v>
      </c>
      <c r="B1597" t="str">
        <f t="shared" si="25"/>
        <v>Насос топлива</v>
      </c>
      <c r="C1597">
        <v>16</v>
      </c>
      <c r="D1597">
        <v>8239.152</v>
      </c>
    </row>
    <row r="1598" spans="1:4">
      <c r="A1598" t="str">
        <f>"17040-JN00B"</f>
        <v>17040-JN00B</v>
      </c>
      <c r="B1598" t="str">
        <f t="shared" si="25"/>
        <v>Насос топлива</v>
      </c>
      <c r="C1598">
        <v>2</v>
      </c>
      <c r="D1598">
        <v>9066.5759999999991</v>
      </c>
    </row>
    <row r="1599" spans="1:4">
      <c r="A1599" t="str">
        <f>"17040-JN00C"</f>
        <v>17040-JN00C</v>
      </c>
      <c r="B1599" t="str">
        <f t="shared" si="25"/>
        <v>Насос топлива</v>
      </c>
      <c r="C1599">
        <v>2</v>
      </c>
      <c r="D1599">
        <v>9066.5759999999991</v>
      </c>
    </row>
    <row r="1600" spans="1:4">
      <c r="A1600" t="str">
        <f>"17040-VC71A"</f>
        <v>17040-VC71A</v>
      </c>
      <c r="B1600" t="str">
        <f>"Насос топливный"</f>
        <v>Насос топливный</v>
      </c>
      <c r="C1600">
        <v>0</v>
      </c>
      <c r="D1600">
        <v>7212.6240000000007</v>
      </c>
    </row>
    <row r="1601" spans="1:4">
      <c r="A1601" t="str">
        <f>"17040-ZD80B"</f>
        <v>17040-ZD80B</v>
      </c>
      <c r="B1601" t="str">
        <f>"Насос топлива"</f>
        <v>Насос топлива</v>
      </c>
      <c r="C1601">
        <v>6</v>
      </c>
      <c r="D1601">
        <v>6167.3279999999995</v>
      </c>
    </row>
    <row r="1602" spans="1:4">
      <c r="A1602" t="str">
        <f>"17040-ZQ60A"</f>
        <v>17040-ZQ60A</v>
      </c>
      <c r="B1602" t="str">
        <f>"Насос топлива"</f>
        <v>Насос топлива</v>
      </c>
      <c r="C1602">
        <v>1</v>
      </c>
      <c r="D1602">
        <v>8257.5120000000006</v>
      </c>
    </row>
    <row r="1603" spans="1:4">
      <c r="A1603" t="str">
        <f>"17040-ZZ00A"</f>
        <v>17040-ZZ00A</v>
      </c>
      <c r="B1603" t="str">
        <f>"Насос топлива"</f>
        <v>Насос топлива</v>
      </c>
      <c r="C1603">
        <v>0</v>
      </c>
      <c r="D1603">
        <v>7032.2879999999996</v>
      </c>
    </row>
    <row r="1604" spans="1:4">
      <c r="A1604" t="str">
        <f>"17042-3Y500"</f>
        <v>17042-3Y500</v>
      </c>
      <c r="B1604" t="str">
        <f>"PUMP ASSY"</f>
        <v>PUMP ASSY</v>
      </c>
      <c r="C1604">
        <v>5</v>
      </c>
      <c r="D1604">
        <v>4434.5519999999997</v>
      </c>
    </row>
    <row r="1605" spans="1:4">
      <c r="A1605" t="str">
        <f>"17042-41G03"</f>
        <v>17042-41G03</v>
      </c>
      <c r="B1605" t="str">
        <f>"PUMP ASSY-FUEL"</f>
        <v>PUMP ASSY-FUEL</v>
      </c>
      <c r="C1605">
        <v>2</v>
      </c>
      <c r="D1605">
        <v>6288.5039999999999</v>
      </c>
    </row>
    <row r="1606" spans="1:4">
      <c r="A1606" t="str">
        <f>"17042-5F600"</f>
        <v>17042-5F600</v>
      </c>
      <c r="B1606" t="str">
        <f>"PUMP ASSY"</f>
        <v>PUMP ASSY</v>
      </c>
      <c r="C1606">
        <v>7</v>
      </c>
      <c r="D1606">
        <v>6964.9679999999998</v>
      </c>
    </row>
    <row r="1607" spans="1:4">
      <c r="A1607" t="str">
        <f>"17042-8H30A"</f>
        <v>17042-8H30A</v>
      </c>
      <c r="B1607" t="str">
        <f>"Насос топлива"</f>
        <v>Насос топлива</v>
      </c>
      <c r="C1607">
        <v>21</v>
      </c>
      <c r="D1607">
        <v>4034.712</v>
      </c>
    </row>
    <row r="1608" spans="1:4">
      <c r="A1608" t="str">
        <f>"17042-96E00"</f>
        <v>17042-96E00</v>
      </c>
      <c r="B1608" t="str">
        <f>"PUMP ASSY-FUEL"</f>
        <v>PUMP ASSY-FUEL</v>
      </c>
      <c r="C1608">
        <v>10</v>
      </c>
      <c r="D1608">
        <v>6485.16</v>
      </c>
    </row>
    <row r="1609" spans="1:4">
      <c r="A1609" t="str">
        <f>"17042-VC300"</f>
        <v>17042-VC300</v>
      </c>
      <c r="B1609" t="str">
        <f>"PUMP ASSY-FUEL"</f>
        <v>PUMP ASSY-FUEL</v>
      </c>
      <c r="C1609">
        <v>3</v>
      </c>
      <c r="D1609">
        <v>4060.4159999999997</v>
      </c>
    </row>
    <row r="1610" spans="1:4">
      <c r="A1610" t="str">
        <f>"17042-WF100"</f>
        <v>17042-WF100</v>
      </c>
      <c r="B1610" t="str">
        <f>"Насос топлива"</f>
        <v>Насос топлива</v>
      </c>
      <c r="C1610">
        <v>9</v>
      </c>
      <c r="D1610">
        <v>4678.9439999999995</v>
      </c>
    </row>
    <row r="1611" spans="1:4">
      <c r="A1611" t="str">
        <f>"17044-4M405"</f>
        <v>17044-4M405</v>
      </c>
      <c r="B1611" t="str">
        <f>"PACK-FUEL PUMP"</f>
        <v>PACK-FUEL PUMP</v>
      </c>
      <c r="C1611">
        <v>16</v>
      </c>
      <c r="D1611">
        <v>114.64800000000001</v>
      </c>
    </row>
    <row r="1612" spans="1:4">
      <c r="A1612" t="str">
        <f>"17049-4M400"</f>
        <v>17049-4M400</v>
      </c>
      <c r="B1612" t="str">
        <f>"SEAL-O RING"</f>
        <v>SEAL-O RING</v>
      </c>
      <c r="C1612">
        <v>21</v>
      </c>
      <c r="D1612">
        <v>119.136</v>
      </c>
    </row>
    <row r="1613" spans="1:4">
      <c r="A1613" t="str">
        <f>"17051-EC00A"</f>
        <v>17051-EC00A</v>
      </c>
      <c r="B1613" t="str">
        <f>"Насос топлива"</f>
        <v>Насос топлива</v>
      </c>
      <c r="C1613">
        <v>0</v>
      </c>
      <c r="D1613">
        <v>1276.2239999999999</v>
      </c>
    </row>
    <row r="1614" spans="1:4">
      <c r="A1614" t="str">
        <f>"17221-8H70B"</f>
        <v>17221-8H70B</v>
      </c>
      <c r="B1614" t="str">
        <f>"Труба заливной горло"</f>
        <v>Труба заливной горло</v>
      </c>
      <c r="C1614">
        <v>1</v>
      </c>
      <c r="D1614">
        <v>2672.4</v>
      </c>
    </row>
    <row r="1615" spans="1:4">
      <c r="A1615" t="str">
        <f>"17251-00QAA"</f>
        <v>17251-00QAA</v>
      </c>
      <c r="B1615" t="str">
        <f>"Крышка заливной горл"</f>
        <v>Крышка заливной горл</v>
      </c>
      <c r="C1615">
        <v>0</v>
      </c>
      <c r="D1615">
        <v>337.00799999999998</v>
      </c>
    </row>
    <row r="1616" spans="1:4">
      <c r="A1616" t="str">
        <f>"17251-79920"</f>
        <v>17251-79920</v>
      </c>
      <c r="B1616" t="str">
        <f>"CAP ASSY-FILLER"</f>
        <v>CAP ASSY-FILLER</v>
      </c>
      <c r="C1616">
        <v>9</v>
      </c>
      <c r="D1616">
        <v>901.68</v>
      </c>
    </row>
    <row r="1617" spans="1:4">
      <c r="A1617" t="str">
        <f>"17251-79970"</f>
        <v>17251-79970</v>
      </c>
      <c r="B1617" t="str">
        <f>"CAP ASSY-FILLER"</f>
        <v>CAP ASSY-FILLER</v>
      </c>
      <c r="C1617">
        <v>9</v>
      </c>
      <c r="D1617">
        <v>886.99199999999996</v>
      </c>
    </row>
    <row r="1618" spans="1:4">
      <c r="A1618" t="str">
        <f>"17251-79973"</f>
        <v>17251-79973</v>
      </c>
      <c r="B1618" t="str">
        <f>"Крышка заливной горл"</f>
        <v>Крышка заливной горл</v>
      </c>
      <c r="C1618">
        <v>0</v>
      </c>
      <c r="D1618">
        <v>896.78399999999999</v>
      </c>
    </row>
    <row r="1619" spans="1:4">
      <c r="A1619" t="str">
        <f>"17255-01G00"</f>
        <v>17255-01G00</v>
      </c>
      <c r="B1619" t="str">
        <f>"HOLDER-FILR CAP"</f>
        <v>HOLDER-FILR CAP</v>
      </c>
      <c r="C1619">
        <v>14</v>
      </c>
      <c r="D1619">
        <v>35.087999999999994</v>
      </c>
    </row>
    <row r="1620" spans="1:4">
      <c r="A1620" t="str">
        <f>"17255-95F0A"</f>
        <v>17255-95F0A</v>
      </c>
      <c r="B1620" t="str">
        <f>"Держатель крышки топ"</f>
        <v>Держатель крышки топ</v>
      </c>
      <c r="C1620">
        <v>4</v>
      </c>
      <c r="D1620">
        <v>39.167999999999999</v>
      </c>
    </row>
    <row r="1621" spans="1:4">
      <c r="A1621" t="str">
        <f>"17280-2F101"</f>
        <v>17280-2F101</v>
      </c>
      <c r="B1621" t="str">
        <f>"CHAMBER ASSY"</f>
        <v>CHAMBER ASSY</v>
      </c>
      <c r="C1621">
        <v>1</v>
      </c>
      <c r="D1621">
        <v>2015.5199999999998</v>
      </c>
    </row>
    <row r="1622" spans="1:4">
      <c r="A1622" t="str">
        <f>"17280-9F500"</f>
        <v>17280-9F500</v>
      </c>
      <c r="B1622" t="str">
        <f>"CHAMBER ASSY-FU"</f>
        <v>CHAMBER ASSY-FU</v>
      </c>
      <c r="C1622">
        <v>0</v>
      </c>
      <c r="D1622">
        <v>2000.424</v>
      </c>
    </row>
    <row r="1623" spans="1:4">
      <c r="A1623" t="str">
        <f>"17285-JG000"</f>
        <v>17285-JG000</v>
      </c>
      <c r="B1623" t="str">
        <f>"Кожух защитный"</f>
        <v>Кожух защитный</v>
      </c>
      <c r="C1623">
        <v>0</v>
      </c>
      <c r="D1623">
        <v>6712.0079999999998</v>
      </c>
    </row>
    <row r="1624" spans="1:4">
      <c r="A1624" t="str">
        <f>"17333-8H300"</f>
        <v>17333-8H300</v>
      </c>
      <c r="B1624" t="str">
        <f>"COVER"</f>
        <v>COVER</v>
      </c>
      <c r="C1624">
        <v>1</v>
      </c>
      <c r="D1624">
        <v>286.82400000000001</v>
      </c>
    </row>
    <row r="1625" spans="1:4">
      <c r="A1625" t="str">
        <f>"17341-40U00"</f>
        <v>17341-40U00</v>
      </c>
      <c r="B1625" t="str">
        <f>"RETAINER-FUEL G"</f>
        <v>RETAINER-FUEL G</v>
      </c>
      <c r="C1625">
        <v>6</v>
      </c>
      <c r="D1625">
        <v>154.63200000000001</v>
      </c>
    </row>
    <row r="1626" spans="1:4">
      <c r="A1626" t="str">
        <f>"17342-5M303"</f>
        <v>17342-5M303</v>
      </c>
      <c r="B1626" t="str">
        <f>"PACKING-FUEL GA"</f>
        <v>PACKING-FUEL GA</v>
      </c>
      <c r="C1626">
        <v>3</v>
      </c>
      <c r="D1626">
        <v>354.96</v>
      </c>
    </row>
    <row r="1627" spans="1:4">
      <c r="A1627" t="str">
        <f>"17342-79900"</f>
        <v>17342-79900</v>
      </c>
      <c r="B1627" t="str">
        <f>"O RING F/GAUG99"</f>
        <v>O RING F/GAUG99</v>
      </c>
      <c r="C1627">
        <v>48</v>
      </c>
      <c r="D1627">
        <v>264.79199999999997</v>
      </c>
    </row>
    <row r="1628" spans="1:4">
      <c r="A1628" t="str">
        <f>"17342-7S000"</f>
        <v>17342-7S000</v>
      </c>
      <c r="B1628" t="str">
        <f>"Уплотнительное кольц"</f>
        <v>Уплотнительное кольц</v>
      </c>
      <c r="C1628">
        <v>9</v>
      </c>
      <c r="D1628">
        <v>190.12799999999999</v>
      </c>
    </row>
    <row r="1629" spans="1:4">
      <c r="A1629" t="str">
        <f>"17342-95F0A"</f>
        <v>17342-95F0A</v>
      </c>
      <c r="B1629" t="str">
        <f>"Уплотнитель крышки т"</f>
        <v>Уплотнитель крышки т</v>
      </c>
      <c r="C1629">
        <v>11</v>
      </c>
      <c r="D1629">
        <v>136.27199999999999</v>
      </c>
    </row>
    <row r="1630" spans="1:4">
      <c r="A1630" t="str">
        <f>"17342-AY600"</f>
        <v>17342-AY600</v>
      </c>
      <c r="B1630" t="str">
        <f>"Уплотнитель крышки т"</f>
        <v>Уплотнитель крышки т</v>
      </c>
      <c r="C1630">
        <v>0</v>
      </c>
      <c r="D1630">
        <v>148.512</v>
      </c>
    </row>
    <row r="1631" spans="1:4">
      <c r="A1631" t="str">
        <f>"17342-CA000"</f>
        <v>17342-CA000</v>
      </c>
      <c r="B1631" t="str">
        <f>"Уплотнитель крышки т"</f>
        <v>Уплотнитель крышки т</v>
      </c>
      <c r="C1631">
        <v>6</v>
      </c>
      <c r="D1631">
        <v>278.25599999999997</v>
      </c>
    </row>
    <row r="1632" spans="1:4">
      <c r="A1632" t="str">
        <f>"17342-EB300"</f>
        <v>17342-EB300</v>
      </c>
      <c r="B1632" t="str">
        <f>"Уплотнительное кольц"</f>
        <v>Уплотнительное кольц</v>
      </c>
      <c r="C1632">
        <v>19</v>
      </c>
      <c r="D1632">
        <v>514.48799999999994</v>
      </c>
    </row>
    <row r="1633" spans="1:4">
      <c r="A1633" t="str">
        <f>"17342-JD00A"</f>
        <v>17342-JD00A</v>
      </c>
      <c r="B1633" t="str">
        <f>"Уплотнитель крышки т"</f>
        <v>Уплотнитель крышки т</v>
      </c>
      <c r="C1633">
        <v>2</v>
      </c>
      <c r="D1633">
        <v>246.83999999999997</v>
      </c>
    </row>
    <row r="1634" spans="1:4">
      <c r="A1634" t="str">
        <f>"17343-AX000"</f>
        <v>17343-AX000</v>
      </c>
      <c r="B1634" t="str">
        <f>"PLATE LOCK"</f>
        <v>PLATE LOCK</v>
      </c>
      <c r="C1634">
        <v>4</v>
      </c>
      <c r="D1634">
        <v>377.4</v>
      </c>
    </row>
    <row r="1635" spans="1:4">
      <c r="A1635" t="str">
        <f>"17573-CC20A"</f>
        <v>17573-CC20A</v>
      </c>
      <c r="B1635" t="str">
        <f>"Пистон кожуха топлив"</f>
        <v>Пистон кожуха топлив</v>
      </c>
      <c r="C1635">
        <v>7</v>
      </c>
      <c r="D1635">
        <v>139.12799999999999</v>
      </c>
    </row>
    <row r="1636" spans="1:4">
      <c r="A1636" t="str">
        <f>"18002-EH01A"</f>
        <v>18002-EH01A</v>
      </c>
      <c r="B1636" t="str">
        <f>"Педальный узел"</f>
        <v>Педальный узел</v>
      </c>
      <c r="C1636">
        <v>1</v>
      </c>
      <c r="D1636">
        <v>8515.3680000000004</v>
      </c>
    </row>
    <row r="1637" spans="1:4">
      <c r="A1637" t="str">
        <f>"18002-VB30A"</f>
        <v>18002-VB30A</v>
      </c>
      <c r="B1637" t="str">
        <f>"Блок педали газа"</f>
        <v>Блок педали газа</v>
      </c>
      <c r="C1637">
        <v>3</v>
      </c>
      <c r="D1637">
        <v>9824.232</v>
      </c>
    </row>
    <row r="1638" spans="1:4">
      <c r="A1638" t="str">
        <f>"18021-AU410"</f>
        <v>18021-AU410</v>
      </c>
      <c r="B1638" t="str">
        <f>"Кронштейн педали"</f>
        <v>Кронштейн педали</v>
      </c>
      <c r="C1638">
        <v>1</v>
      </c>
      <c r="D1638">
        <v>541.00799999999992</v>
      </c>
    </row>
    <row r="1639" spans="1:4">
      <c r="A1639" t="str">
        <f>"18200-00Q0D"</f>
        <v>18200-00Q0D</v>
      </c>
      <c r="B1639" t="str">
        <f>"Трос акселератор"</f>
        <v>Трос акселератор</v>
      </c>
      <c r="C1639">
        <v>0</v>
      </c>
      <c r="D1639">
        <v>773.976</v>
      </c>
    </row>
    <row r="1640" spans="1:4">
      <c r="A1640" t="str">
        <f>"18201-22J00"</f>
        <v>18201-22J00</v>
      </c>
      <c r="B1640" t="str">
        <f t="shared" ref="B1640:B1645" si="26">"WIRE ASSY-ACCEL"</f>
        <v>WIRE ASSY-ACCEL</v>
      </c>
      <c r="C1640">
        <v>2</v>
      </c>
      <c r="D1640">
        <v>1046.1119999999999</v>
      </c>
    </row>
    <row r="1641" spans="1:4">
      <c r="A1641" t="str">
        <f>"18201-2F070"</f>
        <v>18201-2F070</v>
      </c>
      <c r="B1641" t="str">
        <f t="shared" si="26"/>
        <v>WIRE ASSY-ACCEL</v>
      </c>
      <c r="C1641">
        <v>6</v>
      </c>
      <c r="D1641">
        <v>1418.2079999999999</v>
      </c>
    </row>
    <row r="1642" spans="1:4">
      <c r="A1642" t="str">
        <f>"18201-9C601"</f>
        <v>18201-9C601</v>
      </c>
      <c r="B1642" t="str">
        <f t="shared" si="26"/>
        <v>WIRE ASSY-ACCEL</v>
      </c>
      <c r="C1642">
        <v>3</v>
      </c>
      <c r="D1642">
        <v>2629.9679999999998</v>
      </c>
    </row>
    <row r="1643" spans="1:4">
      <c r="A1643" t="str">
        <f>"18201-9F515"</f>
        <v>18201-9F515</v>
      </c>
      <c r="B1643" t="str">
        <f t="shared" si="26"/>
        <v>WIRE ASSY-ACCEL</v>
      </c>
      <c r="C1643">
        <v>1</v>
      </c>
      <c r="D1643">
        <v>2183.2079999999996</v>
      </c>
    </row>
    <row r="1644" spans="1:4">
      <c r="A1644" t="str">
        <f>"18201-9F610"</f>
        <v>18201-9F610</v>
      </c>
      <c r="B1644" t="str">
        <f t="shared" si="26"/>
        <v>WIRE ASSY-ACCEL</v>
      </c>
      <c r="C1644">
        <v>2</v>
      </c>
      <c r="D1644">
        <v>1554.8879999999999</v>
      </c>
    </row>
    <row r="1645" spans="1:4">
      <c r="A1645" t="str">
        <f>"18201-BN000"</f>
        <v>18201-BN000</v>
      </c>
      <c r="B1645" t="str">
        <f t="shared" si="26"/>
        <v>WIRE ASSY-ACCEL</v>
      </c>
      <c r="C1645">
        <v>1</v>
      </c>
      <c r="D1645">
        <v>1339.4639999999999</v>
      </c>
    </row>
    <row r="1646" spans="1:4">
      <c r="A1646" t="str">
        <f>"18222-10W00"</f>
        <v>18222-10W00</v>
      </c>
      <c r="B1646" t="str">
        <f>"Хомут"</f>
        <v>Хомут</v>
      </c>
      <c r="C1646">
        <v>1</v>
      </c>
      <c r="D1646">
        <v>162.792</v>
      </c>
    </row>
    <row r="1647" spans="1:4">
      <c r="A1647" t="str">
        <f>"20010-5M370"</f>
        <v>20010-5M370</v>
      </c>
      <c r="B1647" t="str">
        <f>"TUBE ASSY-EXHAU"</f>
        <v>TUBE ASSY-EXHAU</v>
      </c>
      <c r="C1647">
        <v>0</v>
      </c>
      <c r="D1647">
        <v>3350.0879999999997</v>
      </c>
    </row>
    <row r="1648" spans="1:4">
      <c r="A1648" t="str">
        <f>"20010-8H70A"</f>
        <v>20010-8H70A</v>
      </c>
      <c r="B1648" t="str">
        <f>"Труба глушителя"</f>
        <v>Труба глушителя</v>
      </c>
      <c r="C1648">
        <v>9</v>
      </c>
      <c r="D1648">
        <v>7124.4960000000001</v>
      </c>
    </row>
    <row r="1649" spans="1:4">
      <c r="A1649" t="str">
        <f>"20010-95F0D"</f>
        <v>20010-95F0D</v>
      </c>
      <c r="B1649" t="str">
        <f>"Труба глушителя"</f>
        <v>Труба глушителя</v>
      </c>
      <c r="C1649">
        <v>0</v>
      </c>
      <c r="D1649">
        <v>3393.3360000000002</v>
      </c>
    </row>
    <row r="1650" spans="1:4">
      <c r="A1650" t="str">
        <f>"20010-AV600-KE"</f>
        <v>20010-AV600-KE</v>
      </c>
      <c r="B1650" t="str">
        <f>"TUBE EXH FRONT"</f>
        <v>TUBE EXH FRONT</v>
      </c>
      <c r="C1650">
        <v>1</v>
      </c>
      <c r="D1650">
        <v>7335.8399999999992</v>
      </c>
    </row>
    <row r="1651" spans="1:4">
      <c r="A1651" t="str">
        <f>"20010-BN805"</f>
        <v>20010-BN805</v>
      </c>
      <c r="B1651" t="str">
        <f>"TUBE ASSY-EXHAU"</f>
        <v>TUBE ASSY-EXHAU</v>
      </c>
      <c r="C1651">
        <v>1</v>
      </c>
      <c r="D1651">
        <v>3350.0879999999997</v>
      </c>
    </row>
    <row r="1652" spans="1:4">
      <c r="A1652" t="str">
        <f>"20010-JD25A"</f>
        <v>20010-JD25A</v>
      </c>
      <c r="B1652" t="str">
        <f t="shared" ref="B1652:B1659" si="27">"Труба глушителя"</f>
        <v>Труба глушителя</v>
      </c>
      <c r="C1652">
        <v>2</v>
      </c>
      <c r="D1652">
        <v>6535.7519999999995</v>
      </c>
    </row>
    <row r="1653" spans="1:4">
      <c r="A1653" t="str">
        <f>"20010-VB325"</f>
        <v>20010-VB325</v>
      </c>
      <c r="B1653" t="str">
        <f t="shared" si="27"/>
        <v>Труба глушителя</v>
      </c>
      <c r="C1653">
        <v>1</v>
      </c>
      <c r="D1653">
        <v>10973.567999999999</v>
      </c>
    </row>
    <row r="1654" spans="1:4">
      <c r="A1654" t="str">
        <f>"20010-ZC30A"</f>
        <v>20010-ZC30A</v>
      </c>
      <c r="B1654" t="str">
        <f t="shared" si="27"/>
        <v>Труба глушителя</v>
      </c>
      <c r="C1654">
        <v>1</v>
      </c>
      <c r="D1654">
        <v>10925.016</v>
      </c>
    </row>
    <row r="1655" spans="1:4">
      <c r="A1655" t="str">
        <f>"20018-8H70A"</f>
        <v>20018-8H70A</v>
      </c>
      <c r="B1655" t="str">
        <f t="shared" si="27"/>
        <v>Труба глушителя</v>
      </c>
      <c r="C1655">
        <v>1</v>
      </c>
      <c r="D1655">
        <v>12045.791999999999</v>
      </c>
    </row>
    <row r="1656" spans="1:4">
      <c r="A1656" t="str">
        <f>"20020-4Y30A"</f>
        <v>20020-4Y30A</v>
      </c>
      <c r="B1656" t="str">
        <f t="shared" si="27"/>
        <v>Труба глушителя</v>
      </c>
      <c r="C1656">
        <v>1</v>
      </c>
      <c r="D1656">
        <v>17859.791999999998</v>
      </c>
    </row>
    <row r="1657" spans="1:4">
      <c r="A1657" t="str">
        <f>"20020-CC40C"</f>
        <v>20020-CC40C</v>
      </c>
      <c r="B1657" t="str">
        <f t="shared" si="27"/>
        <v>Труба глушителя</v>
      </c>
      <c r="C1657">
        <v>0</v>
      </c>
      <c r="D1657">
        <v>25814.16</v>
      </c>
    </row>
    <row r="1658" spans="1:4">
      <c r="A1658" t="str">
        <f>"20020-CG000"</f>
        <v>20020-CG000</v>
      </c>
      <c r="B1658" t="str">
        <f t="shared" si="27"/>
        <v>Труба глушителя</v>
      </c>
      <c r="C1658">
        <v>4</v>
      </c>
      <c r="D1658">
        <v>18593.376</v>
      </c>
    </row>
    <row r="1659" spans="1:4">
      <c r="A1659" t="str">
        <f>"20020-JL00B"</f>
        <v>20020-JL00B</v>
      </c>
      <c r="B1659" t="str">
        <f t="shared" si="27"/>
        <v>Труба глушителя</v>
      </c>
      <c r="C1659">
        <v>2</v>
      </c>
      <c r="D1659">
        <v>23309.040000000001</v>
      </c>
    </row>
    <row r="1660" spans="1:4">
      <c r="A1660" t="str">
        <f>"20020-VB100"</f>
        <v>20020-VB100</v>
      </c>
      <c r="B1660" t="str">
        <f>"TUBE ASSY"</f>
        <v>TUBE ASSY</v>
      </c>
      <c r="C1660">
        <v>1</v>
      </c>
      <c r="D1660">
        <v>13720.632</v>
      </c>
    </row>
    <row r="1661" spans="1:4">
      <c r="A1661" t="str">
        <f>"20020-ZC30A"</f>
        <v>20020-ZC30A</v>
      </c>
      <c r="B1661" t="str">
        <f>"Труба глушителя"</f>
        <v>Труба глушителя</v>
      </c>
      <c r="C1661">
        <v>0</v>
      </c>
      <c r="D1661">
        <v>12599.448</v>
      </c>
    </row>
    <row r="1662" spans="1:4">
      <c r="A1662" t="str">
        <f>"20030-57Y16"</f>
        <v>20030-57Y16</v>
      </c>
      <c r="B1662" t="str">
        <f>"TUBE ASSY-EXHAU"</f>
        <v>TUBE ASSY-EXHAU</v>
      </c>
      <c r="C1662">
        <v>1</v>
      </c>
      <c r="D1662">
        <v>15345.696</v>
      </c>
    </row>
    <row r="1663" spans="1:4">
      <c r="A1663" t="str">
        <f>"20050-7F652"</f>
        <v>20050-7F652</v>
      </c>
      <c r="B1663" t="str">
        <f>"TUBE ASSY-EXHAU"</f>
        <v>TUBE ASSY-EXHAU</v>
      </c>
      <c r="C1663">
        <v>1</v>
      </c>
      <c r="D1663">
        <v>2373.3359999999998</v>
      </c>
    </row>
    <row r="1664" spans="1:4">
      <c r="A1664" t="str">
        <f>"20050-7F850"</f>
        <v>20050-7F850</v>
      </c>
      <c r="B1664" t="str">
        <f>"TUBE ASSY-EXHAU"</f>
        <v>TUBE ASSY-EXHAU</v>
      </c>
      <c r="C1664">
        <v>2</v>
      </c>
      <c r="D1664">
        <v>2403.5279999999998</v>
      </c>
    </row>
    <row r="1665" spans="1:4">
      <c r="A1665" t="str">
        <f>"20074-8H30A"</f>
        <v>20074-8H30A</v>
      </c>
      <c r="B1665" t="str">
        <f>"Пружина крепления гл"</f>
        <v>Пружина крепления гл</v>
      </c>
      <c r="C1665">
        <v>0</v>
      </c>
      <c r="D1665">
        <v>154.63200000000001</v>
      </c>
    </row>
    <row r="1666" spans="1:4">
      <c r="A1666" t="str">
        <f>"20074-8J010"</f>
        <v>20074-8J010</v>
      </c>
      <c r="B1666" t="str">
        <f>"Пружина крепления гл"</f>
        <v>Пружина крепления гл</v>
      </c>
      <c r="C1666">
        <v>19</v>
      </c>
      <c r="D1666">
        <v>112.2</v>
      </c>
    </row>
    <row r="1667" spans="1:4">
      <c r="A1667" t="str">
        <f>"20074-95F0A"</f>
        <v>20074-95F0A</v>
      </c>
      <c r="B1667" t="str">
        <f>"Пружина трубы глушит"</f>
        <v>Пружина трубы глушит</v>
      </c>
      <c r="C1667">
        <v>36</v>
      </c>
      <c r="D1667">
        <v>158.71199999999999</v>
      </c>
    </row>
    <row r="1668" spans="1:4">
      <c r="A1668" t="str">
        <f>"20080-EJ90A"</f>
        <v>20080-EJ90A</v>
      </c>
      <c r="B1668" t="str">
        <f>"Насадка глушител"</f>
        <v>Насадка глушител</v>
      </c>
      <c r="C1668">
        <v>0</v>
      </c>
      <c r="D1668">
        <v>1410.4560000000001</v>
      </c>
    </row>
    <row r="1669" spans="1:4">
      <c r="A1669" t="str">
        <f>"20080-JK00A"</f>
        <v>20080-JK00A</v>
      </c>
      <c r="B1669" t="str">
        <f>"Насадка глушител"</f>
        <v>Насадка глушител</v>
      </c>
      <c r="C1669">
        <v>0</v>
      </c>
      <c r="D1669">
        <v>1405.9680000000001</v>
      </c>
    </row>
    <row r="1670" spans="1:4">
      <c r="A1670" t="str">
        <f>"20100-1CK0A"</f>
        <v>20100-1CK0A</v>
      </c>
      <c r="B1670" t="str">
        <f>"Глушитель"</f>
        <v>Глушитель</v>
      </c>
      <c r="C1670">
        <v>3</v>
      </c>
      <c r="D1670">
        <v>16832.04</v>
      </c>
    </row>
    <row r="1671" spans="1:4">
      <c r="A1671" t="str">
        <f>"20100-38U27"</f>
        <v>20100-38U27</v>
      </c>
      <c r="B1671" t="str">
        <f>"Глушитель"</f>
        <v>Глушитель</v>
      </c>
      <c r="C1671">
        <v>1</v>
      </c>
      <c r="D1671">
        <v>7441.5119999999997</v>
      </c>
    </row>
    <row r="1672" spans="1:4">
      <c r="A1672" t="str">
        <f>"20100-4Y30A"</f>
        <v>20100-4Y30A</v>
      </c>
      <c r="B1672" t="str">
        <f>"Глушитель"</f>
        <v>Глушитель</v>
      </c>
      <c r="C1672">
        <v>2</v>
      </c>
      <c r="D1672">
        <v>9325.2479999999996</v>
      </c>
    </row>
    <row r="1673" spans="1:4">
      <c r="A1673" t="str">
        <f>"20100-5M381"</f>
        <v>20100-5M381</v>
      </c>
      <c r="B1673" t="str">
        <f>"MUFFLER ASSY-EX"</f>
        <v>MUFFLER ASSY-EX</v>
      </c>
      <c r="C1673">
        <v>1</v>
      </c>
      <c r="D1673">
        <v>6696.9120000000003</v>
      </c>
    </row>
    <row r="1674" spans="1:4">
      <c r="A1674" t="str">
        <f>"20100-5M710"</f>
        <v>20100-5M710</v>
      </c>
      <c r="B1674" t="str">
        <f>"MUFFLER ASSY-EX"</f>
        <v>MUFFLER ASSY-EX</v>
      </c>
      <c r="C1674">
        <v>2</v>
      </c>
      <c r="D1674">
        <v>3627.12</v>
      </c>
    </row>
    <row r="1675" spans="1:4">
      <c r="A1675" t="str">
        <f>"20100-7F850"</f>
        <v>20100-7F850</v>
      </c>
      <c r="B1675" t="str">
        <f>"MUFFLER ASSY-EX"</f>
        <v>MUFFLER ASSY-EX</v>
      </c>
      <c r="C1675">
        <v>2</v>
      </c>
      <c r="D1675">
        <v>4558.1759999999995</v>
      </c>
    </row>
    <row r="1676" spans="1:4">
      <c r="A1676" t="str">
        <f>"20100-7S600"</f>
        <v>20100-7S600</v>
      </c>
      <c r="B1676" t="str">
        <f>"Глушитель"</f>
        <v>Глушитель</v>
      </c>
      <c r="C1676">
        <v>2</v>
      </c>
      <c r="D1676">
        <v>6882.96</v>
      </c>
    </row>
    <row r="1677" spans="1:4">
      <c r="A1677" t="str">
        <f>"20100-8H70A"</f>
        <v>20100-8H70A</v>
      </c>
      <c r="B1677" t="str">
        <f>"Глушитель"</f>
        <v>Глушитель</v>
      </c>
      <c r="C1677">
        <v>1</v>
      </c>
      <c r="D1677">
        <v>7255.8720000000003</v>
      </c>
    </row>
    <row r="1678" spans="1:4">
      <c r="A1678" t="str">
        <f>"20100-95F0A"</f>
        <v>20100-95F0A</v>
      </c>
      <c r="B1678" t="str">
        <f>"Глушитель"</f>
        <v>Глушитель</v>
      </c>
      <c r="C1678">
        <v>0</v>
      </c>
      <c r="D1678">
        <v>9251.8079999999991</v>
      </c>
    </row>
    <row r="1679" spans="1:4">
      <c r="A1679" t="str">
        <f>"20100-9U00B"</f>
        <v>20100-9U00B</v>
      </c>
      <c r="B1679" t="str">
        <f>"Глушитель"</f>
        <v>Глушитель</v>
      </c>
      <c r="C1679">
        <v>0</v>
      </c>
      <c r="D1679">
        <v>3627.12</v>
      </c>
    </row>
    <row r="1680" spans="1:4">
      <c r="A1680" t="str">
        <f>"20100-BM505"</f>
        <v>20100-BM505</v>
      </c>
      <c r="B1680" t="str">
        <f>"MUFFLER ASSY-EX"</f>
        <v>MUFFLER ASSY-EX</v>
      </c>
      <c r="C1680">
        <v>1</v>
      </c>
      <c r="D1680">
        <v>4896</v>
      </c>
    </row>
    <row r="1681" spans="1:4">
      <c r="A1681" t="str">
        <f>"20100-BM520"</f>
        <v>20100-BM520</v>
      </c>
      <c r="B1681" t="str">
        <f>"MUFFLER ASSY-EX"</f>
        <v>MUFFLER ASSY-EX</v>
      </c>
      <c r="C1681">
        <v>0</v>
      </c>
      <c r="D1681">
        <v>3627.12</v>
      </c>
    </row>
    <row r="1682" spans="1:4">
      <c r="A1682" t="str">
        <f>"20100-BR20A"</f>
        <v>20100-BR20A</v>
      </c>
      <c r="B1682" t="str">
        <f>"MUFFLER ASSY-EX"</f>
        <v>MUFFLER ASSY-EX</v>
      </c>
      <c r="C1682">
        <v>0</v>
      </c>
      <c r="D1682">
        <v>7988.2319999999991</v>
      </c>
    </row>
    <row r="1683" spans="1:4">
      <c r="A1683" t="str">
        <f>"20100-BR21A"</f>
        <v>20100-BR21A</v>
      </c>
      <c r="B1683" t="str">
        <f>"Глушитель"</f>
        <v>Глушитель</v>
      </c>
      <c r="C1683">
        <v>1</v>
      </c>
      <c r="D1683">
        <v>8412.1440000000002</v>
      </c>
    </row>
    <row r="1684" spans="1:4">
      <c r="A1684" t="str">
        <f>"20100-CA011"</f>
        <v>20100-CA011</v>
      </c>
      <c r="B1684" t="str">
        <f>"MUFFLER ASSY"</f>
        <v>MUFFLER ASSY</v>
      </c>
      <c r="C1684">
        <v>1</v>
      </c>
      <c r="D1684">
        <v>11906.255999999999</v>
      </c>
    </row>
    <row r="1685" spans="1:4">
      <c r="A1685" t="str">
        <f>"20100-CC00A"</f>
        <v>20100-CC00A</v>
      </c>
      <c r="B1685" t="str">
        <f>"Глушитель"</f>
        <v>Глушитель</v>
      </c>
      <c r="C1685">
        <v>1</v>
      </c>
      <c r="D1685">
        <v>11906.255999999999</v>
      </c>
    </row>
    <row r="1686" spans="1:4">
      <c r="A1686" t="str">
        <f>"20100-CG000"</f>
        <v>20100-CG000</v>
      </c>
      <c r="B1686" t="str">
        <f>"MUFFLER ASSY-EX"</f>
        <v>MUFFLER ASSY-EX</v>
      </c>
      <c r="C1686">
        <v>4</v>
      </c>
      <c r="D1686">
        <v>16832.04</v>
      </c>
    </row>
    <row r="1687" spans="1:4">
      <c r="A1687" t="str">
        <f>"20100-CG200"</f>
        <v>20100-CG200</v>
      </c>
      <c r="B1687" t="str">
        <f>"Глушитель"</f>
        <v>Глушитель</v>
      </c>
      <c r="C1687">
        <v>2</v>
      </c>
      <c r="D1687">
        <v>15047.448</v>
      </c>
    </row>
    <row r="1688" spans="1:4">
      <c r="A1688" t="str">
        <f>"20100-CL000"</f>
        <v>20100-CL000</v>
      </c>
      <c r="B1688" t="str">
        <f>"Глушитель"</f>
        <v>Глушитель</v>
      </c>
      <c r="C1688">
        <v>2</v>
      </c>
      <c r="D1688">
        <v>16044.599999999999</v>
      </c>
    </row>
    <row r="1689" spans="1:4">
      <c r="A1689" t="str">
        <f>"20100-CM80A"</f>
        <v>20100-CM80A</v>
      </c>
      <c r="B1689" t="str">
        <f>"Глушитель"</f>
        <v>Глушитель</v>
      </c>
      <c r="C1689">
        <v>3</v>
      </c>
      <c r="D1689">
        <v>16832.04</v>
      </c>
    </row>
    <row r="1690" spans="1:4">
      <c r="A1690" t="str">
        <f>"20100-JG05B"</f>
        <v>20100-JG05B</v>
      </c>
      <c r="B1690" t="str">
        <f>"Глушитель"</f>
        <v>Глушитель</v>
      </c>
      <c r="C1690">
        <v>1</v>
      </c>
      <c r="D1690">
        <v>11534.159999999998</v>
      </c>
    </row>
    <row r="1691" spans="1:4">
      <c r="A1691" t="str">
        <f>"20100-JG35B"</f>
        <v>20100-JG35B</v>
      </c>
      <c r="B1691" t="str">
        <f>"MUFFLER ASSY-EX"</f>
        <v>MUFFLER ASSY-EX</v>
      </c>
      <c r="C1691">
        <v>1</v>
      </c>
      <c r="D1691">
        <v>17080.103999999999</v>
      </c>
    </row>
    <row r="1692" spans="1:4">
      <c r="A1692" t="str">
        <f>"20100-JG35D"</f>
        <v>20100-JG35D</v>
      </c>
      <c r="B1692" t="str">
        <f>"Глушитель"</f>
        <v>Глушитель</v>
      </c>
      <c r="C1692">
        <v>2</v>
      </c>
      <c r="D1692">
        <v>17080.103999999999</v>
      </c>
    </row>
    <row r="1693" spans="1:4">
      <c r="A1693" t="str">
        <f>"20100-JL41A"</f>
        <v>20100-JL41A</v>
      </c>
      <c r="B1693" t="str">
        <f>"Глушитель"</f>
        <v>Глушитель</v>
      </c>
      <c r="C1693">
        <v>0</v>
      </c>
      <c r="D1693">
        <v>10522.728000000001</v>
      </c>
    </row>
    <row r="1694" spans="1:4">
      <c r="A1694" t="str">
        <f>"20100-MB40B"</f>
        <v>20100-MB40B</v>
      </c>
      <c r="B1694" t="str">
        <f>"Глушитель"</f>
        <v>Глушитель</v>
      </c>
      <c r="C1694">
        <v>1</v>
      </c>
      <c r="D1694">
        <v>5674.0559999999996</v>
      </c>
    </row>
    <row r="1695" spans="1:4">
      <c r="A1695" t="str">
        <f>"20110-9W65A"</f>
        <v>20110-9W65A</v>
      </c>
      <c r="B1695" t="str">
        <f>"Глушитель"</f>
        <v>Глушитель</v>
      </c>
      <c r="C1695">
        <v>5</v>
      </c>
      <c r="D1695">
        <v>6120</v>
      </c>
    </row>
    <row r="1696" spans="1:4">
      <c r="A1696" t="str">
        <f>"20300-41U00"</f>
        <v>20300-41U00</v>
      </c>
      <c r="B1696" t="str">
        <f>"MUFFLER ASSY"</f>
        <v>MUFFLER ASSY</v>
      </c>
      <c r="C1696">
        <v>1</v>
      </c>
      <c r="D1696">
        <v>8772</v>
      </c>
    </row>
    <row r="1697" spans="1:4">
      <c r="A1697" t="str">
        <f>"20300-4Y30A"</f>
        <v>20300-4Y30A</v>
      </c>
      <c r="B1697" t="str">
        <f>"Глушитель"</f>
        <v>Глушитель</v>
      </c>
      <c r="C1697">
        <v>3</v>
      </c>
      <c r="D1697">
        <v>8396.232</v>
      </c>
    </row>
    <row r="1698" spans="1:4">
      <c r="A1698" t="str">
        <f>"20300-5M370"</f>
        <v>20300-5M370</v>
      </c>
      <c r="B1698" t="str">
        <f>"MUFFLER ASSY-EX"</f>
        <v>MUFFLER ASSY-EX</v>
      </c>
      <c r="C1698">
        <v>1</v>
      </c>
      <c r="D1698">
        <v>4082.0399999999995</v>
      </c>
    </row>
    <row r="1699" spans="1:4">
      <c r="A1699" t="str">
        <f>"20300-5M381"</f>
        <v>20300-5M381</v>
      </c>
      <c r="B1699" t="str">
        <f>"MUFFLER ASSY-EX"</f>
        <v>MUFFLER ASSY-EX</v>
      </c>
      <c r="C1699">
        <v>1</v>
      </c>
      <c r="D1699">
        <v>6997.6080000000002</v>
      </c>
    </row>
    <row r="1700" spans="1:4">
      <c r="A1700" t="str">
        <f>"20300-8H31A"</f>
        <v>20300-8H31A</v>
      </c>
      <c r="B1700" t="str">
        <f>"Глушитель"</f>
        <v>Глушитель</v>
      </c>
      <c r="C1700">
        <v>1</v>
      </c>
      <c r="D1700">
        <v>9330.9599999999991</v>
      </c>
    </row>
    <row r="1701" spans="1:4">
      <c r="A1701" t="str">
        <f>"20300-9U21A"</f>
        <v>20300-9U21A</v>
      </c>
      <c r="B1701" t="str">
        <f>"Глушитель"</f>
        <v>Глушитель</v>
      </c>
      <c r="C1701">
        <v>0</v>
      </c>
      <c r="D1701">
        <v>4082.0399999999995</v>
      </c>
    </row>
    <row r="1702" spans="1:4">
      <c r="A1702" t="str">
        <f>"20300-BM500"</f>
        <v>20300-BM500</v>
      </c>
      <c r="B1702" t="str">
        <f>"MUFFLER ASSY-EX"</f>
        <v>MUFFLER ASSY-EX</v>
      </c>
      <c r="C1702">
        <v>0</v>
      </c>
      <c r="D1702">
        <v>4082.0399999999995</v>
      </c>
    </row>
    <row r="1703" spans="1:4">
      <c r="A1703" t="str">
        <f>"20300-BN800"</f>
        <v>20300-BN800</v>
      </c>
      <c r="B1703" t="str">
        <f>"MUFFLER ASSY-EX"</f>
        <v>MUFFLER ASSY-EX</v>
      </c>
      <c r="C1703">
        <v>1</v>
      </c>
      <c r="D1703">
        <v>4082.0399999999995</v>
      </c>
    </row>
    <row r="1704" spans="1:4">
      <c r="A1704" t="str">
        <f>"20300-BN810"</f>
        <v>20300-BN810</v>
      </c>
      <c r="B1704" t="str">
        <f>"MUFFLER ASSY-EX"</f>
        <v>MUFFLER ASSY-EX</v>
      </c>
      <c r="C1704">
        <v>1</v>
      </c>
      <c r="D1704">
        <v>4082.0399999999995</v>
      </c>
    </row>
    <row r="1705" spans="1:4">
      <c r="A1705" t="str">
        <f>"20300-CC00A"</f>
        <v>20300-CC00A</v>
      </c>
      <c r="B1705" t="str">
        <f t="shared" ref="B1705:B1710" si="28">"Глушитель"</f>
        <v>Глушитель</v>
      </c>
      <c r="C1705">
        <v>1</v>
      </c>
      <c r="D1705">
        <v>8396.232</v>
      </c>
    </row>
    <row r="1706" spans="1:4">
      <c r="A1706" t="str">
        <f>"20300-CG000"</f>
        <v>20300-CG000</v>
      </c>
      <c r="B1706" t="str">
        <f t="shared" si="28"/>
        <v>Глушитель</v>
      </c>
      <c r="C1706">
        <v>12</v>
      </c>
      <c r="D1706">
        <v>8064.9359999999997</v>
      </c>
    </row>
    <row r="1707" spans="1:4">
      <c r="A1707" t="str">
        <f>"20300-CG200"</f>
        <v>20300-CG200</v>
      </c>
      <c r="B1707" t="str">
        <f t="shared" si="28"/>
        <v>Глушитель</v>
      </c>
      <c r="C1707">
        <v>1</v>
      </c>
      <c r="D1707">
        <v>8299.9439999999995</v>
      </c>
    </row>
    <row r="1708" spans="1:4">
      <c r="A1708" t="str">
        <f>"20300-CM80A"</f>
        <v>20300-CM80A</v>
      </c>
      <c r="B1708" t="str">
        <f t="shared" si="28"/>
        <v>Глушитель</v>
      </c>
      <c r="C1708">
        <v>4</v>
      </c>
      <c r="D1708">
        <v>8686.7279999999992</v>
      </c>
    </row>
    <row r="1709" spans="1:4">
      <c r="A1709" t="str">
        <f>"20350-4W020"</f>
        <v>20350-4W020</v>
      </c>
      <c r="B1709" t="str">
        <f t="shared" si="28"/>
        <v>Глушитель</v>
      </c>
      <c r="C1709">
        <v>2</v>
      </c>
      <c r="D1709">
        <v>9823.0079999999998</v>
      </c>
    </row>
    <row r="1710" spans="1:4">
      <c r="A1710" t="str">
        <f>"20350-VB00A"</f>
        <v>20350-VB00A</v>
      </c>
      <c r="B1710" t="str">
        <f t="shared" si="28"/>
        <v>Глушитель</v>
      </c>
      <c r="C1710">
        <v>2</v>
      </c>
      <c r="D1710">
        <v>8444.3759999999984</v>
      </c>
    </row>
    <row r="1711" spans="1:4">
      <c r="A1711" t="str">
        <f>"20350-VB200"</f>
        <v>20350-VB200</v>
      </c>
      <c r="B1711" t="str">
        <f>"MUFFLER ASSY-PO"</f>
        <v>MUFFLER ASSY-PO</v>
      </c>
      <c r="C1711">
        <v>2</v>
      </c>
      <c r="D1711">
        <v>8629.1999999999989</v>
      </c>
    </row>
    <row r="1712" spans="1:4">
      <c r="A1712" t="str">
        <f>"20602-01M0A"</f>
        <v>20602-01M0A</v>
      </c>
      <c r="B1712" t="str">
        <f>"Гайка глушителя"</f>
        <v>Гайка глушителя</v>
      </c>
      <c r="C1712">
        <v>10</v>
      </c>
      <c r="D1712">
        <v>92.207999999999998</v>
      </c>
    </row>
    <row r="1713" spans="1:4">
      <c r="A1713" t="str">
        <f>"20602-41G0A"</f>
        <v>20602-41G0A</v>
      </c>
      <c r="B1713" t="str">
        <f>"Гайка крепления глуш"</f>
        <v>Гайка крепления глуш</v>
      </c>
      <c r="C1713">
        <v>0</v>
      </c>
      <c r="D1713">
        <v>63.647999999999996</v>
      </c>
    </row>
    <row r="1714" spans="1:4">
      <c r="A1714" t="str">
        <f>"20606-0E500"</f>
        <v>20606-0E500</v>
      </c>
      <c r="B1714" t="str">
        <f>"BOLT"</f>
        <v>BOLT</v>
      </c>
      <c r="C1714">
        <v>4</v>
      </c>
      <c r="D1714">
        <v>98.736000000000004</v>
      </c>
    </row>
    <row r="1715" spans="1:4">
      <c r="A1715" t="str">
        <f>"20606-0F000"</f>
        <v>20606-0F000</v>
      </c>
      <c r="B1715" t="str">
        <f>"BOLT"</f>
        <v>BOLT</v>
      </c>
      <c r="C1715">
        <v>2</v>
      </c>
      <c r="D1715">
        <v>127.29599999999999</v>
      </c>
    </row>
    <row r="1716" spans="1:4">
      <c r="A1716" t="str">
        <f>"20606-1U60B"</f>
        <v>20606-1U60B</v>
      </c>
      <c r="B1716" t="str">
        <f>"Болт крепления глуши"</f>
        <v>Болт крепления глуши</v>
      </c>
      <c r="C1716">
        <v>0</v>
      </c>
      <c r="D1716">
        <v>116.28</v>
      </c>
    </row>
    <row r="1717" spans="1:4">
      <c r="A1717" t="str">
        <f>"20606-2J200"</f>
        <v>20606-2J200</v>
      </c>
      <c r="B1717" t="str">
        <f>"BOLT"</f>
        <v>BOLT</v>
      </c>
      <c r="C1717">
        <v>0</v>
      </c>
      <c r="D1717">
        <v>103.22399999999999</v>
      </c>
    </row>
    <row r="1718" spans="1:4">
      <c r="A1718" t="str">
        <f>"20606-35F00"</f>
        <v>20606-35F00</v>
      </c>
      <c r="B1718" t="str">
        <f>"BOLT"</f>
        <v>BOLT</v>
      </c>
      <c r="C1718">
        <v>9</v>
      </c>
      <c r="D1718">
        <v>93.84</v>
      </c>
    </row>
    <row r="1719" spans="1:4">
      <c r="A1719" t="str">
        <f>"20606-4M41A"</f>
        <v>20606-4M41A</v>
      </c>
      <c r="B1719" t="str">
        <f>"Болт крепления глуши"</f>
        <v>Болт крепления глуши</v>
      </c>
      <c r="C1719">
        <v>21</v>
      </c>
      <c r="D1719">
        <v>117.91200000000001</v>
      </c>
    </row>
    <row r="1720" spans="1:4">
      <c r="A1720" t="str">
        <f>"20606-8H30A"</f>
        <v>20606-8H30A</v>
      </c>
      <c r="B1720" t="str">
        <f>"Болт крепления глуши"</f>
        <v>Болт крепления глуши</v>
      </c>
      <c r="C1720">
        <v>0</v>
      </c>
      <c r="D1720">
        <v>119.95199999999998</v>
      </c>
    </row>
    <row r="1721" spans="1:4">
      <c r="A1721" t="str">
        <f>"20606-95F0A"</f>
        <v>20606-95F0A</v>
      </c>
      <c r="B1721" t="str">
        <f>"Болт крепления глуши"</f>
        <v>Болт крепления глуши</v>
      </c>
      <c r="C1721">
        <v>10</v>
      </c>
      <c r="D1721">
        <v>93.023999999999987</v>
      </c>
    </row>
    <row r="1722" spans="1:4">
      <c r="A1722" t="str">
        <f>"20606-D4200"</f>
        <v>20606-D4200</v>
      </c>
      <c r="B1722" t="str">
        <f>"BOLT-HEX"</f>
        <v>BOLT-HEX</v>
      </c>
      <c r="C1722">
        <v>7</v>
      </c>
      <c r="D1722">
        <v>91.391999999999996</v>
      </c>
    </row>
    <row r="1723" spans="1:4">
      <c r="A1723" t="str">
        <f>"20611-0F010"</f>
        <v>20611-0F010</v>
      </c>
      <c r="B1723" t="str">
        <f>"MOUNTING ASSY-E"</f>
        <v>MOUNTING ASSY-E</v>
      </c>
      <c r="C1723">
        <v>7</v>
      </c>
      <c r="D1723">
        <v>964.10399999999993</v>
      </c>
    </row>
    <row r="1724" spans="1:4">
      <c r="A1724" t="str">
        <f>"20611-1AA2A"</f>
        <v>20611-1AA2A</v>
      </c>
      <c r="B1724" t="str">
        <f>"Подушка крепления гл"</f>
        <v>Подушка крепления гл</v>
      </c>
      <c r="C1724">
        <v>7</v>
      </c>
      <c r="D1724">
        <v>870.26400000000001</v>
      </c>
    </row>
    <row r="1725" spans="1:4">
      <c r="A1725" t="str">
        <f>"20611-CA000"</f>
        <v>20611-CA000</v>
      </c>
      <c r="B1725" t="str">
        <f>"MOUNTING ASSY"</f>
        <v>MOUNTING ASSY</v>
      </c>
      <c r="C1725">
        <v>17</v>
      </c>
      <c r="D1725">
        <v>780.50399999999991</v>
      </c>
    </row>
    <row r="1726" spans="1:4">
      <c r="A1726" t="str">
        <f>"20621-CA000"</f>
        <v>20621-CA000</v>
      </c>
      <c r="B1726" t="str">
        <f>"Подушка крепления гл"</f>
        <v>Подушка крепления гл</v>
      </c>
      <c r="C1726">
        <v>0</v>
      </c>
      <c r="D1726">
        <v>769.89600000000007</v>
      </c>
    </row>
    <row r="1727" spans="1:4">
      <c r="A1727" t="str">
        <f>"20621-ZC00A"</f>
        <v>20621-ZC00A</v>
      </c>
      <c r="B1727" t="str">
        <f>"Подушка глушител"</f>
        <v>Подушка глушител</v>
      </c>
      <c r="C1727">
        <v>4</v>
      </c>
      <c r="D1727">
        <v>446.35199999999998</v>
      </c>
    </row>
    <row r="1728" spans="1:4">
      <c r="A1728" t="str">
        <f>"20638-61500"</f>
        <v>20638-61500</v>
      </c>
      <c r="B1728" t="str">
        <f>"RUBBER-MUFFLER"</f>
        <v>RUBBER-MUFFLER</v>
      </c>
      <c r="C1728">
        <v>43</v>
      </c>
      <c r="D1728">
        <v>69.36</v>
      </c>
    </row>
    <row r="1729" spans="1:4">
      <c r="A1729" t="str">
        <f>"20640-01A61"</f>
        <v>20640-01A61</v>
      </c>
      <c r="B1729" t="str">
        <f>"INSULATOR ASSY"</f>
        <v>INSULATOR ASSY</v>
      </c>
      <c r="C1729">
        <v>15</v>
      </c>
      <c r="D1729">
        <v>321.09599999999995</v>
      </c>
    </row>
    <row r="1730" spans="1:4">
      <c r="A1730" t="str">
        <f>"20641-0F000"</f>
        <v>20641-0F000</v>
      </c>
      <c r="B1730" t="str">
        <f>"MOUNTING ASSY-E"</f>
        <v>MOUNTING ASSY-E</v>
      </c>
      <c r="C1730">
        <v>4</v>
      </c>
      <c r="D1730">
        <v>645.45600000000002</v>
      </c>
    </row>
    <row r="1731" spans="1:4">
      <c r="A1731" t="str">
        <f>"20641-9C000"</f>
        <v>20641-9C000</v>
      </c>
      <c r="B1731" t="str">
        <f>"MOUNTING-EXHAUS"</f>
        <v>MOUNTING-EXHAUS</v>
      </c>
      <c r="C1731">
        <v>1</v>
      </c>
      <c r="D1731">
        <v>408</v>
      </c>
    </row>
    <row r="1732" spans="1:4">
      <c r="A1732" t="str">
        <f>"20650-0L700"</f>
        <v>20650-0L700</v>
      </c>
      <c r="B1732" t="str">
        <f>"MOUNTING ASSY-E"</f>
        <v>MOUNTING ASSY-E</v>
      </c>
      <c r="C1732">
        <v>7</v>
      </c>
      <c r="D1732">
        <v>264.38399999999996</v>
      </c>
    </row>
    <row r="1733" spans="1:4">
      <c r="A1733" t="str">
        <f>"20650-2F001"</f>
        <v>20650-2F001</v>
      </c>
      <c r="B1733" t="str">
        <f>"MOUNTING ASSY"</f>
        <v>MOUNTING ASSY</v>
      </c>
      <c r="C1733">
        <v>14</v>
      </c>
      <c r="D1733">
        <v>288.45599999999996</v>
      </c>
    </row>
    <row r="1734" spans="1:4">
      <c r="A1734" t="str">
        <f>"20650-2Y200"</f>
        <v>20650-2Y200</v>
      </c>
      <c r="B1734" t="str">
        <f>"Подушка крепления гл"</f>
        <v>Подушка крепления гл</v>
      </c>
      <c r="C1734">
        <v>8</v>
      </c>
      <c r="D1734">
        <v>243.57599999999996</v>
      </c>
    </row>
    <row r="1735" spans="1:4">
      <c r="A1735" t="str">
        <f>"20650-50A00"</f>
        <v>20650-50A00</v>
      </c>
      <c r="B1735" t="str">
        <f>"INSULATOR ASSY"</f>
        <v>INSULATOR ASSY</v>
      </c>
      <c r="C1735">
        <v>13</v>
      </c>
      <c r="D1735">
        <v>272.13599999999997</v>
      </c>
    </row>
    <row r="1736" spans="1:4">
      <c r="A1736" t="str">
        <f>"20650-52L00"</f>
        <v>20650-52L00</v>
      </c>
      <c r="B1736" t="str">
        <f>"INSUL ASSY-EXH"</f>
        <v>INSUL ASSY-EXH</v>
      </c>
      <c r="C1736">
        <v>13</v>
      </c>
      <c r="D1736">
        <v>206.44799999999998</v>
      </c>
    </row>
    <row r="1737" spans="1:4">
      <c r="A1737" t="str">
        <f>"20650-5L300"</f>
        <v>20650-5L300</v>
      </c>
      <c r="B1737" t="str">
        <f>"Подушка крепления гл"</f>
        <v>Подушка крепления гл</v>
      </c>
      <c r="C1737">
        <v>7</v>
      </c>
      <c r="D1737">
        <v>246.43200000000002</v>
      </c>
    </row>
    <row r="1738" spans="1:4">
      <c r="A1738" t="str">
        <f>"20651-3X00B"</f>
        <v>20651-3X00B</v>
      </c>
      <c r="B1738" t="str">
        <f>"Подушка крепления гл"</f>
        <v>Подушка крепления гл</v>
      </c>
      <c r="C1738">
        <v>2</v>
      </c>
      <c r="D1738">
        <v>716.44799999999998</v>
      </c>
    </row>
    <row r="1739" spans="1:4">
      <c r="A1739" t="str">
        <f>"20651-5L300"</f>
        <v>20651-5L300</v>
      </c>
      <c r="B1739" t="str">
        <f>"Подушка крепления гл"</f>
        <v>Подушка крепления гл</v>
      </c>
      <c r="C1739">
        <v>14</v>
      </c>
      <c r="D1739">
        <v>263.56799999999998</v>
      </c>
    </row>
    <row r="1740" spans="1:4">
      <c r="A1740" t="str">
        <f>"20651-5L710"</f>
        <v>20651-5L710</v>
      </c>
      <c r="B1740" t="str">
        <f>"Подушка крепления гл"</f>
        <v>Подушка крепления гл</v>
      </c>
      <c r="C1740">
        <v>23</v>
      </c>
      <c r="D1740">
        <v>251.73599999999999</v>
      </c>
    </row>
    <row r="1741" spans="1:4">
      <c r="A1741" t="str">
        <f>"20651-8H300"</f>
        <v>20651-8H300</v>
      </c>
      <c r="B1741" t="str">
        <f>"MOUNTING"</f>
        <v>MOUNTING</v>
      </c>
      <c r="C1741">
        <v>32</v>
      </c>
      <c r="D1741">
        <v>800.08799999999997</v>
      </c>
    </row>
    <row r="1742" spans="1:4">
      <c r="A1742" t="str">
        <f>"20651-95F0A"</f>
        <v>20651-95F0A</v>
      </c>
      <c r="B1742" t="str">
        <f>"Подушка крепления гл"</f>
        <v>Подушка крепления гл</v>
      </c>
      <c r="C1742">
        <v>0</v>
      </c>
      <c r="D1742">
        <v>219.91199999999998</v>
      </c>
    </row>
    <row r="1743" spans="1:4">
      <c r="A1743" t="str">
        <f>"20651-95F0B"</f>
        <v>20651-95F0B</v>
      </c>
      <c r="B1743" t="str">
        <f>"Подушка крепления гл"</f>
        <v>Подушка крепления гл</v>
      </c>
      <c r="C1743">
        <v>22</v>
      </c>
      <c r="D1743">
        <v>224.4</v>
      </c>
    </row>
    <row r="1744" spans="1:4">
      <c r="A1744" t="str">
        <f>"20651-AU100"</f>
        <v>20651-AU100</v>
      </c>
      <c r="B1744" t="str">
        <f>"MOUNTING"</f>
        <v>MOUNTING</v>
      </c>
      <c r="C1744">
        <v>5</v>
      </c>
      <c r="D1744">
        <v>944.11199999999997</v>
      </c>
    </row>
    <row r="1745" spans="1:4">
      <c r="A1745" t="str">
        <f>"20651-AX400"</f>
        <v>20651-AX400</v>
      </c>
      <c r="B1745" t="str">
        <f>"Подушка крепления гл"</f>
        <v>Подушка крепления гл</v>
      </c>
      <c r="C1745">
        <v>2</v>
      </c>
      <c r="D1745">
        <v>785.4</v>
      </c>
    </row>
    <row r="1746" spans="1:4">
      <c r="A1746" t="str">
        <f>"20651-AX620"</f>
        <v>20651-AX620</v>
      </c>
      <c r="B1746" t="str">
        <f>"MOUNTING-EXHAUS"</f>
        <v>MOUNTING-EXHAUS</v>
      </c>
      <c r="C1746">
        <v>12</v>
      </c>
      <c r="D1746">
        <v>337.00799999999998</v>
      </c>
    </row>
    <row r="1747" spans="1:4">
      <c r="A1747" t="str">
        <f>"20651-BM400"</f>
        <v>20651-BM400</v>
      </c>
      <c r="B1747" t="str">
        <f>"MOUNTING-EXHAUS"</f>
        <v>MOUNTING-EXHAUS</v>
      </c>
      <c r="C1747">
        <v>72</v>
      </c>
      <c r="D1747">
        <v>352.10399999999998</v>
      </c>
    </row>
    <row r="1748" spans="1:4">
      <c r="A1748" t="str">
        <f>"20651-CA000"</f>
        <v>20651-CA000</v>
      </c>
      <c r="B1748" t="str">
        <f>"Подушка крепления гл"</f>
        <v>Подушка крепления гл</v>
      </c>
      <c r="C1748">
        <v>1</v>
      </c>
      <c r="D1748">
        <v>871.07999999999993</v>
      </c>
    </row>
    <row r="1749" spans="1:4">
      <c r="A1749" t="str">
        <f>"20651-CD000"</f>
        <v>20651-CD000</v>
      </c>
      <c r="B1749" t="str">
        <f>"MOUNTING-EXHAUS"</f>
        <v>MOUNTING-EXHAUS</v>
      </c>
      <c r="C1749">
        <v>11</v>
      </c>
      <c r="D1749">
        <v>203.184</v>
      </c>
    </row>
    <row r="1750" spans="1:4">
      <c r="A1750" t="str">
        <f>"20651-JD00A"</f>
        <v>20651-JD00A</v>
      </c>
      <c r="B1750" t="str">
        <f>"Подушка крепления гл"</f>
        <v>Подушка крепления гл</v>
      </c>
      <c r="C1750">
        <v>11</v>
      </c>
      <c r="D1750">
        <v>287.23200000000003</v>
      </c>
    </row>
    <row r="1751" spans="1:4">
      <c r="A1751" t="str">
        <f>"20651-JD00B"</f>
        <v>20651-JD00B</v>
      </c>
      <c r="B1751" t="str">
        <f>"Подушка крепления гл"</f>
        <v>Подушка крепления гл</v>
      </c>
      <c r="C1751">
        <v>7</v>
      </c>
      <c r="D1751">
        <v>284.37599999999998</v>
      </c>
    </row>
    <row r="1752" spans="1:4">
      <c r="A1752" t="str">
        <f>"20651-JG300"</f>
        <v>20651-JG300</v>
      </c>
      <c r="B1752" t="str">
        <f>"Подушка глушител"</f>
        <v>Подушка глушител</v>
      </c>
      <c r="C1752">
        <v>5</v>
      </c>
      <c r="D1752">
        <v>889.44</v>
      </c>
    </row>
    <row r="1753" spans="1:4">
      <c r="A1753" t="str">
        <f>"20651-JN00A"</f>
        <v>20651-JN00A</v>
      </c>
      <c r="B1753" t="str">
        <f>"Кронштейн глушит"</f>
        <v>Кронштейн глушит</v>
      </c>
      <c r="C1753">
        <v>2</v>
      </c>
      <c r="D1753">
        <v>889.44</v>
      </c>
    </row>
    <row r="1754" spans="1:4">
      <c r="A1754" t="str">
        <f>"20681-0F000"</f>
        <v>20681-0F000</v>
      </c>
      <c r="B1754" t="str">
        <f>"BOLT-U TUBE CLA"</f>
        <v>BOLT-U TUBE CLA</v>
      </c>
      <c r="C1754">
        <v>2</v>
      </c>
      <c r="D1754">
        <v>292.12799999999999</v>
      </c>
    </row>
    <row r="1755" spans="1:4">
      <c r="A1755" t="str">
        <f>"20691-01E80"</f>
        <v>20691-01E80</v>
      </c>
      <c r="B1755" t="str">
        <f>"GASKET EXH"</f>
        <v>GASKET EXH</v>
      </c>
      <c r="C1755">
        <v>16</v>
      </c>
      <c r="D1755">
        <v>241.94399999999999</v>
      </c>
    </row>
    <row r="1756" spans="1:4">
      <c r="A1756" t="str">
        <f>"20691-0F000"</f>
        <v>20691-0F000</v>
      </c>
      <c r="B1756" t="str">
        <f>"GASKET-EXHAUST"</f>
        <v>GASKET-EXHAUST</v>
      </c>
      <c r="C1756">
        <v>2</v>
      </c>
      <c r="D1756">
        <v>372.91199999999998</v>
      </c>
    </row>
    <row r="1757" spans="1:4">
      <c r="A1757" t="str">
        <f>"20691-0P600"</f>
        <v>20691-0P600</v>
      </c>
      <c r="B1757" t="str">
        <f>"GASKET-EXHAUST"</f>
        <v>GASKET-EXHAUST</v>
      </c>
      <c r="C1757">
        <v>49</v>
      </c>
      <c r="D1757">
        <v>250.10399999999998</v>
      </c>
    </row>
    <row r="1758" spans="1:4">
      <c r="A1758" t="str">
        <f>"20691-19B00"</f>
        <v>20691-19B00</v>
      </c>
      <c r="B1758" t="str">
        <f>"GASKET"</f>
        <v>GASKET</v>
      </c>
      <c r="C1758">
        <v>41</v>
      </c>
      <c r="D1758">
        <v>59.567999999999998</v>
      </c>
    </row>
    <row r="1759" spans="1:4">
      <c r="A1759" t="str">
        <f>"20691-19U00"</f>
        <v>20691-19U00</v>
      </c>
      <c r="B1759" t="str">
        <f>"GASKET-EXHAUST"</f>
        <v>GASKET-EXHAUST</v>
      </c>
      <c r="C1759">
        <v>55</v>
      </c>
      <c r="D1759">
        <v>248.88</v>
      </c>
    </row>
    <row r="1760" spans="1:4">
      <c r="A1760" t="str">
        <f>"20691-30P00"</f>
        <v>20691-30P00</v>
      </c>
      <c r="B1760" t="str">
        <f>"GASKET"</f>
        <v>GASKET</v>
      </c>
      <c r="C1760">
        <v>80</v>
      </c>
      <c r="D1760">
        <v>58.343999999999994</v>
      </c>
    </row>
    <row r="1761" spans="1:4">
      <c r="A1761" t="str">
        <f>"20691-38U00"</f>
        <v>20691-38U00</v>
      </c>
      <c r="B1761" t="str">
        <f>"S GASKET-EXH MA"</f>
        <v>S GASKET-EXH MA</v>
      </c>
      <c r="C1761">
        <v>15</v>
      </c>
      <c r="D1761">
        <v>136.68</v>
      </c>
    </row>
    <row r="1762" spans="1:4">
      <c r="A1762" t="str">
        <f>"20691-51E01"</f>
        <v>20691-51E01</v>
      </c>
      <c r="B1762" t="str">
        <f>"GASKET EXH"</f>
        <v>GASKET EXH</v>
      </c>
      <c r="C1762">
        <v>69</v>
      </c>
      <c r="D1762">
        <v>77.52</v>
      </c>
    </row>
    <row r="1763" spans="1:4">
      <c r="A1763" t="str">
        <f>"20691-57E01"</f>
        <v>20691-57E01</v>
      </c>
      <c r="B1763" t="str">
        <f>"GASKET EXH"</f>
        <v>GASKET EXH</v>
      </c>
      <c r="C1763">
        <v>28</v>
      </c>
      <c r="D1763">
        <v>77.112000000000009</v>
      </c>
    </row>
    <row r="1764" spans="1:4">
      <c r="A1764" t="str">
        <f>"20691-58E01"</f>
        <v>20691-58E01</v>
      </c>
      <c r="B1764" t="str">
        <f>"GASKET EXH"</f>
        <v>GASKET EXH</v>
      </c>
      <c r="C1764">
        <v>19</v>
      </c>
      <c r="D1764">
        <v>82.823999999999998</v>
      </c>
    </row>
    <row r="1765" spans="1:4">
      <c r="A1765" t="str">
        <f>"20691-77A00"</f>
        <v>20691-77A00</v>
      </c>
      <c r="B1765" t="str">
        <f>"GASKET EXH"</f>
        <v>GASKET EXH</v>
      </c>
      <c r="C1765">
        <v>46</v>
      </c>
      <c r="D1765">
        <v>76.703999999999994</v>
      </c>
    </row>
    <row r="1766" spans="1:4">
      <c r="A1766" t="str">
        <f>"20691-8J100"</f>
        <v>20691-8J100</v>
      </c>
      <c r="B1766" t="str">
        <f>"Прокладка глушит"</f>
        <v>Прокладка глушит</v>
      </c>
      <c r="C1766">
        <v>47</v>
      </c>
      <c r="D1766">
        <v>143.61600000000001</v>
      </c>
    </row>
    <row r="1767" spans="1:4">
      <c r="A1767" t="str">
        <f>"20691-95F0A"</f>
        <v>20691-95F0A</v>
      </c>
      <c r="B1767" t="str">
        <f>"Прокладка глушит"</f>
        <v>Прокладка глушит</v>
      </c>
      <c r="C1767">
        <v>28</v>
      </c>
      <c r="D1767">
        <v>244.392</v>
      </c>
    </row>
    <row r="1768" spans="1:4">
      <c r="A1768" t="str">
        <f>"20691-9Y400"</f>
        <v>20691-9Y400</v>
      </c>
      <c r="B1768" t="str">
        <f>"Прокладка глушит"</f>
        <v>Прокладка глушит</v>
      </c>
      <c r="C1768">
        <v>3</v>
      </c>
      <c r="D1768">
        <v>113.83199999999999</v>
      </c>
    </row>
    <row r="1769" spans="1:4">
      <c r="A1769" t="str">
        <f>"20691-JK01A"</f>
        <v>20691-JK01A</v>
      </c>
      <c r="B1769" t="str">
        <f>"Прокладка глушит"</f>
        <v>Прокладка глушит</v>
      </c>
      <c r="C1769">
        <v>8</v>
      </c>
      <c r="D1769">
        <v>264.79199999999997</v>
      </c>
    </row>
    <row r="1770" spans="1:4">
      <c r="A1770" t="str">
        <f>"20692-0F005"</f>
        <v>20692-0F005</v>
      </c>
      <c r="B1770" t="str">
        <f>"GASKET-EXHAUST"</f>
        <v>GASKET-EXHAUST</v>
      </c>
      <c r="C1770">
        <v>12</v>
      </c>
      <c r="D1770">
        <v>385.96799999999996</v>
      </c>
    </row>
    <row r="1771" spans="1:4">
      <c r="A1771" t="str">
        <f>"20692-0F012"</f>
        <v>20692-0F012</v>
      </c>
      <c r="B1771" t="str">
        <f>"GASKET-EXHAUST"</f>
        <v>GASKET-EXHAUST</v>
      </c>
      <c r="C1771">
        <v>8</v>
      </c>
      <c r="D1771">
        <v>365.56799999999998</v>
      </c>
    </row>
    <row r="1772" spans="1:4">
      <c r="A1772" t="str">
        <f>"20692-1E810"</f>
        <v>20692-1E810</v>
      </c>
      <c r="B1772" t="str">
        <f>"GASKET"</f>
        <v>GASKET</v>
      </c>
      <c r="C1772">
        <v>0</v>
      </c>
      <c r="D1772">
        <v>175.84799999999998</v>
      </c>
    </row>
    <row r="1773" spans="1:4">
      <c r="A1773" t="str">
        <f>"20692-24U00"</f>
        <v>20692-24U00</v>
      </c>
      <c r="B1773" t="str">
        <f>"GASKET EXH"</f>
        <v>GASKET EXH</v>
      </c>
      <c r="C1773">
        <v>16</v>
      </c>
      <c r="D1773">
        <v>330.47999999999996</v>
      </c>
    </row>
    <row r="1774" spans="1:4">
      <c r="A1774" t="str">
        <f>"20692-65J00"</f>
        <v>20692-65J00</v>
      </c>
      <c r="B1774" t="str">
        <f>"GASKET"</f>
        <v>GASKET</v>
      </c>
      <c r="C1774">
        <v>15</v>
      </c>
      <c r="D1774">
        <v>233.37599999999998</v>
      </c>
    </row>
    <row r="1775" spans="1:4">
      <c r="A1775" t="str">
        <f>"20692-8H300"</f>
        <v>20692-8H300</v>
      </c>
      <c r="B1775" t="str">
        <f>"GASKET-EXHAUST"</f>
        <v>GASKET-EXHAUST</v>
      </c>
      <c r="C1775">
        <v>16</v>
      </c>
      <c r="D1775">
        <v>307.22399999999999</v>
      </c>
    </row>
    <row r="1776" spans="1:4">
      <c r="A1776" t="str">
        <f>"20692-95F0A"</f>
        <v>20692-95F0A</v>
      </c>
      <c r="B1776" t="str">
        <f>"Прокладка глушит"</f>
        <v>Прокладка глушит</v>
      </c>
      <c r="C1776">
        <v>26</v>
      </c>
      <c r="D1776">
        <v>266.42399999999998</v>
      </c>
    </row>
    <row r="1777" spans="1:4">
      <c r="A1777" t="str">
        <f>"20692-AD200"</f>
        <v>20692-AD200</v>
      </c>
      <c r="B1777" t="str">
        <f>"GASKET"</f>
        <v>GASKET</v>
      </c>
      <c r="C1777">
        <v>24</v>
      </c>
      <c r="D1777">
        <v>332.928</v>
      </c>
    </row>
    <row r="1778" spans="1:4">
      <c r="A1778" t="str">
        <f>"20692-JK00A"</f>
        <v>20692-JK00A</v>
      </c>
      <c r="B1778" t="str">
        <f>"Прокладка глушит"</f>
        <v>Прокладка глушит</v>
      </c>
      <c r="C1778">
        <v>6</v>
      </c>
      <c r="D1778">
        <v>348.43200000000002</v>
      </c>
    </row>
    <row r="1779" spans="1:4">
      <c r="A1779" t="str">
        <f>"20695-4M400"</f>
        <v>20695-4M400</v>
      </c>
      <c r="B1779" t="str">
        <f>"Прокладка глушит"</f>
        <v>Прокладка глушит</v>
      </c>
      <c r="C1779">
        <v>6</v>
      </c>
      <c r="D1779">
        <v>570.79200000000003</v>
      </c>
    </row>
    <row r="1780" spans="1:4">
      <c r="A1780" t="str">
        <f>"20695-4M410"</f>
        <v>20695-4M410</v>
      </c>
      <c r="B1780" t="str">
        <f>"BEARING-SEAL"</f>
        <v>BEARING-SEAL</v>
      </c>
      <c r="C1780">
        <v>0</v>
      </c>
      <c r="D1780">
        <v>480.62399999999997</v>
      </c>
    </row>
    <row r="1781" spans="1:4">
      <c r="A1781" t="str">
        <f>"20695-6N200"</f>
        <v>20695-6N200</v>
      </c>
      <c r="B1781" t="str">
        <f>"BEARING-SEAL"</f>
        <v>BEARING-SEAL</v>
      </c>
      <c r="C1781">
        <v>9</v>
      </c>
      <c r="D1781">
        <v>558.14400000000001</v>
      </c>
    </row>
    <row r="1782" spans="1:4">
      <c r="A1782" t="str">
        <f>"20695-8H310"</f>
        <v>20695-8H310</v>
      </c>
      <c r="B1782" t="str">
        <f>"BEARING-SEAL"</f>
        <v>BEARING-SEAL</v>
      </c>
      <c r="C1782">
        <v>84</v>
      </c>
      <c r="D1782">
        <v>556.51199999999994</v>
      </c>
    </row>
    <row r="1783" spans="1:4">
      <c r="A1783" t="str">
        <f>"20695-8H320"</f>
        <v>20695-8H320</v>
      </c>
      <c r="B1783" t="str">
        <f>"Уплотнительное кольц"</f>
        <v>Уплотнительное кольц</v>
      </c>
      <c r="C1783">
        <v>12</v>
      </c>
      <c r="D1783">
        <v>535.29599999999994</v>
      </c>
    </row>
    <row r="1784" spans="1:4">
      <c r="A1784" t="str">
        <f>"20695-8H32C"</f>
        <v>20695-8H32C</v>
      </c>
      <c r="B1784" t="str">
        <f>"BEARING-SEAL,EX"</f>
        <v>BEARING-SEAL,EX</v>
      </c>
      <c r="C1784">
        <v>0</v>
      </c>
      <c r="D1784">
        <v>535.29599999999994</v>
      </c>
    </row>
    <row r="1785" spans="1:4">
      <c r="A1785" t="str">
        <f>"20695-AV300"</f>
        <v>20695-AV300</v>
      </c>
      <c r="B1785" t="str">
        <f>"BEARING-SEAL,EX"</f>
        <v>BEARING-SEAL,EX</v>
      </c>
      <c r="C1785">
        <v>15</v>
      </c>
      <c r="D1785">
        <v>753.98400000000004</v>
      </c>
    </row>
    <row r="1786" spans="1:4">
      <c r="A1786" t="str">
        <f>"20695-AV400"</f>
        <v>20695-AV400</v>
      </c>
      <c r="B1786" t="str">
        <f>"BEARING-SEAL,EX"</f>
        <v>BEARING-SEAL,EX</v>
      </c>
      <c r="C1786">
        <v>66</v>
      </c>
      <c r="D1786">
        <v>615.67199999999991</v>
      </c>
    </row>
    <row r="1787" spans="1:4">
      <c r="A1787" t="str">
        <f>"20695-CN000"</f>
        <v>20695-CN000</v>
      </c>
      <c r="B1787" t="str">
        <f>"Уплотнительное кольц"</f>
        <v>Уплотнительное кольц</v>
      </c>
      <c r="C1787">
        <v>14</v>
      </c>
      <c r="D1787">
        <v>493.27199999999999</v>
      </c>
    </row>
    <row r="1788" spans="1:4">
      <c r="A1788" t="str">
        <f>"20695-ED10A"</f>
        <v>20695-ED10A</v>
      </c>
      <c r="B1788" t="str">
        <f>"Уплотнительное кольц"</f>
        <v>Уплотнительное кольц</v>
      </c>
      <c r="C1788">
        <v>53</v>
      </c>
      <c r="D1788">
        <v>553.65599999999995</v>
      </c>
    </row>
    <row r="1789" spans="1:4">
      <c r="A1789" t="str">
        <f>"20711-0F301"</f>
        <v>20711-0F301</v>
      </c>
      <c r="B1789" t="str">
        <f>"BRACKET-EXHAUST"</f>
        <v>BRACKET-EXHAUST</v>
      </c>
      <c r="C1789">
        <v>0</v>
      </c>
      <c r="D1789">
        <v>251.73599999999999</v>
      </c>
    </row>
    <row r="1790" spans="1:4">
      <c r="A1790" t="str">
        <f>"20712-31U00"</f>
        <v>20712-31U00</v>
      </c>
      <c r="B1790" t="str">
        <f>"BRACKET"</f>
        <v>BRACKET</v>
      </c>
      <c r="C1790">
        <v>1</v>
      </c>
      <c r="D1790">
        <v>566.30399999999997</v>
      </c>
    </row>
    <row r="1791" spans="1:4">
      <c r="A1791" t="str">
        <f>"20722-0W001"</f>
        <v>20722-0W001</v>
      </c>
      <c r="B1791" t="str">
        <f>"BRACKET-EXHAUST"</f>
        <v>BRACKET-EXHAUST</v>
      </c>
      <c r="C1791">
        <v>1</v>
      </c>
      <c r="D1791">
        <v>652.79999999999995</v>
      </c>
    </row>
    <row r="1792" spans="1:4">
      <c r="A1792" t="str">
        <f>"20722-41U00"</f>
        <v>20722-41U00</v>
      </c>
      <c r="B1792" t="str">
        <f>"MOUNTING ASSY"</f>
        <v>MOUNTING ASSY</v>
      </c>
      <c r="C1792">
        <v>4</v>
      </c>
      <c r="D1792">
        <v>1879.2479999999998</v>
      </c>
    </row>
    <row r="1793" spans="1:4">
      <c r="A1793" t="str">
        <f>"20722-90J00"</f>
        <v>20722-90J00</v>
      </c>
      <c r="B1793" t="str">
        <f>"BRACKET-MUFFLER"</f>
        <v>BRACKET-MUFFLER</v>
      </c>
      <c r="C1793">
        <v>6</v>
      </c>
      <c r="D1793">
        <v>1081.6079999999999</v>
      </c>
    </row>
    <row r="1794" spans="1:4">
      <c r="A1794" t="str">
        <f>"20813-AL50A"</f>
        <v>20813-AL50A</v>
      </c>
      <c r="B1794" t="str">
        <f>"Прокладка катализато"</f>
        <v>Прокладка катализато</v>
      </c>
      <c r="C1794">
        <v>2</v>
      </c>
      <c r="D1794">
        <v>363.12</v>
      </c>
    </row>
    <row r="1795" spans="1:4">
      <c r="A1795" t="str">
        <f>"20822-01M00"</f>
        <v>20822-01M00</v>
      </c>
      <c r="B1795" t="str">
        <f>"CAP-CONV"</f>
        <v>CAP-CONV</v>
      </c>
      <c r="C1795">
        <v>16</v>
      </c>
      <c r="D1795">
        <v>278.66399999999999</v>
      </c>
    </row>
    <row r="1796" spans="1:4">
      <c r="A1796" t="str">
        <f>"20822-3Y110"</f>
        <v>20822-3Y110</v>
      </c>
      <c r="B1796" t="str">
        <f>"CAP-CONV"</f>
        <v>CAP-CONV</v>
      </c>
      <c r="C1796">
        <v>12</v>
      </c>
      <c r="D1796">
        <v>258.67199999999997</v>
      </c>
    </row>
    <row r="1797" spans="1:4">
      <c r="A1797" t="str">
        <f>"20822-7J610"</f>
        <v>20822-7J610</v>
      </c>
      <c r="B1797" t="str">
        <f>"CAP-CONV"</f>
        <v>CAP-CONV</v>
      </c>
      <c r="C1797">
        <v>6</v>
      </c>
      <c r="D1797">
        <v>257.85599999999999</v>
      </c>
    </row>
    <row r="1798" spans="1:4">
      <c r="A1798" t="str">
        <f>"20840-3Y110"</f>
        <v>20840-3Y110</v>
      </c>
      <c r="B1798" t="str">
        <f>"WASH-WIRE,MESH"</f>
        <v>WASH-WIRE,MESH</v>
      </c>
      <c r="C1798">
        <v>0</v>
      </c>
      <c r="D1798">
        <v>319.87200000000001</v>
      </c>
    </row>
    <row r="1799" spans="1:4">
      <c r="A1799" t="str">
        <f>"20840-7J610"</f>
        <v>20840-7J610</v>
      </c>
      <c r="B1799" t="str">
        <f>"WASH-WIRE,MESH"</f>
        <v>WASH-WIRE,MESH</v>
      </c>
      <c r="C1799">
        <v>15</v>
      </c>
      <c r="D1799">
        <v>327.21600000000001</v>
      </c>
    </row>
    <row r="1800" spans="1:4">
      <c r="A1800" t="str">
        <f>"20853-8J100"</f>
        <v>20853-8J100</v>
      </c>
      <c r="B1800" t="str">
        <f>"SHELTER-CONVERT"</f>
        <v>SHELTER-CONVERT</v>
      </c>
      <c r="C1800">
        <v>1</v>
      </c>
      <c r="D1800">
        <v>709.92</v>
      </c>
    </row>
    <row r="1801" spans="1:4">
      <c r="A1801" t="str">
        <f>"21010-0M3XA"</f>
        <v>21010-0M3XA</v>
      </c>
      <c r="B1801" t="str">
        <f>"Насос жидкости охлаж"</f>
        <v>Насос жидкости охлаж</v>
      </c>
      <c r="C1801">
        <v>12</v>
      </c>
      <c r="D1801">
        <v>1120.7760000000001</v>
      </c>
    </row>
    <row r="1802" spans="1:4">
      <c r="A1802" t="str">
        <f>"21010-2W2X7"</f>
        <v>21010-2W2X7</v>
      </c>
      <c r="B1802" t="str">
        <f>"Насос жидкости охлаж"</f>
        <v>Насос жидкости охлаж</v>
      </c>
      <c r="C1802">
        <v>8</v>
      </c>
      <c r="D1802">
        <v>6440.28</v>
      </c>
    </row>
    <row r="1803" spans="1:4">
      <c r="A1803" t="str">
        <f>"21010-31UX7"</f>
        <v>21010-31UX7</v>
      </c>
      <c r="B1803" t="str">
        <f>"PUMP ASSY-WATER"</f>
        <v>PUMP ASSY-WATER</v>
      </c>
      <c r="C1803">
        <v>10</v>
      </c>
      <c r="D1803">
        <v>2348.4479999999999</v>
      </c>
    </row>
    <row r="1804" spans="1:4">
      <c r="A1804" t="str">
        <f>"21010-40FXG"</f>
        <v>21010-40FXG</v>
      </c>
      <c r="B1804" t="str">
        <f>"Насос жидкости охлаж"</f>
        <v>Насос жидкости охлаж</v>
      </c>
      <c r="C1804">
        <v>3</v>
      </c>
      <c r="D1804">
        <v>1541.424</v>
      </c>
    </row>
    <row r="1805" spans="1:4">
      <c r="A1805" t="str">
        <f>"21010-41BX3"</f>
        <v>21010-41BX3</v>
      </c>
      <c r="B1805" t="str">
        <f>"Насос жидкости охлаж"</f>
        <v>Насос жидкости охлаж</v>
      </c>
      <c r="C1805">
        <v>1</v>
      </c>
      <c r="D1805">
        <v>1081.2</v>
      </c>
    </row>
    <row r="1806" spans="1:4">
      <c r="A1806" t="str">
        <f>"21010-4M526"</f>
        <v>21010-4M526</v>
      </c>
      <c r="B1806" t="str">
        <f>"PUMP ASSY-WATER"</f>
        <v>PUMP ASSY-WATER</v>
      </c>
      <c r="C1806">
        <v>10</v>
      </c>
      <c r="D1806">
        <v>1412.904</v>
      </c>
    </row>
    <row r="1807" spans="1:4">
      <c r="A1807" t="str">
        <f>"21010-5L328"</f>
        <v>21010-5L328</v>
      </c>
      <c r="B1807" t="str">
        <f>"Насос жидкости охлаж"</f>
        <v>Насос жидкости охлаж</v>
      </c>
      <c r="C1807">
        <v>7</v>
      </c>
      <c r="D1807">
        <v>3059.1840000000002</v>
      </c>
    </row>
    <row r="1808" spans="1:4">
      <c r="A1808" t="str">
        <f>"21010-6N226"</f>
        <v>21010-6N226</v>
      </c>
      <c r="B1808" t="str">
        <f>"PUMP ASSY-WATER"</f>
        <v>PUMP ASSY-WATER</v>
      </c>
      <c r="C1808">
        <v>3</v>
      </c>
      <c r="D1808">
        <v>1887.4079999999999</v>
      </c>
    </row>
    <row r="1809" spans="1:4">
      <c r="A1809" t="str">
        <f>"21010-7S000"</f>
        <v>21010-7S000</v>
      </c>
      <c r="B1809" t="str">
        <f t="shared" ref="B1809:B1814" si="29">"Насос жидкости охлаж"</f>
        <v>Насос жидкости охлаж</v>
      </c>
      <c r="C1809">
        <v>0</v>
      </c>
      <c r="D1809">
        <v>2705.8560000000002</v>
      </c>
    </row>
    <row r="1810" spans="1:4">
      <c r="A1810" t="str">
        <f>"21010-95F0A"</f>
        <v>21010-95F0A</v>
      </c>
      <c r="B1810" t="str">
        <f t="shared" si="29"/>
        <v>Насос жидкости охлаж</v>
      </c>
      <c r="C1810">
        <v>4</v>
      </c>
      <c r="D1810">
        <v>1635.6719999999998</v>
      </c>
    </row>
    <row r="1811" spans="1:4">
      <c r="A1811" t="str">
        <f>"21010-AL528"</f>
        <v>21010-AL528</v>
      </c>
      <c r="B1811" t="str">
        <f t="shared" si="29"/>
        <v>Насос жидкости охлаж</v>
      </c>
      <c r="C1811">
        <v>8</v>
      </c>
      <c r="D1811">
        <v>2541.4320000000002</v>
      </c>
    </row>
    <row r="1812" spans="1:4">
      <c r="A1812" t="str">
        <f>"21010-BX000"</f>
        <v>21010-BX000</v>
      </c>
      <c r="B1812" t="str">
        <f t="shared" si="29"/>
        <v>Насос жидкости охлаж</v>
      </c>
      <c r="C1812">
        <v>3</v>
      </c>
      <c r="D1812">
        <v>1982.88</v>
      </c>
    </row>
    <row r="1813" spans="1:4">
      <c r="A1813" t="str">
        <f>"21010-EB300"</f>
        <v>21010-EB300</v>
      </c>
      <c r="B1813" t="str">
        <f t="shared" si="29"/>
        <v>Насос жидкости охлаж</v>
      </c>
      <c r="C1813">
        <v>8</v>
      </c>
      <c r="D1813">
        <v>3874.3679999999995</v>
      </c>
    </row>
    <row r="1814" spans="1:4">
      <c r="A1814" t="str">
        <f>"21010-EE025"</f>
        <v>21010-EE025</v>
      </c>
      <c r="B1814" t="str">
        <f t="shared" si="29"/>
        <v>Насос жидкости охлаж</v>
      </c>
      <c r="C1814">
        <v>4</v>
      </c>
      <c r="D1814">
        <v>1541.8319999999999</v>
      </c>
    </row>
    <row r="1815" spans="1:4">
      <c r="A1815" t="str">
        <f>"21014-2W201"</f>
        <v>21014-2W201</v>
      </c>
      <c r="B1815" t="str">
        <f>"GASKET-WATER PU"</f>
        <v>GASKET-WATER PU</v>
      </c>
      <c r="C1815">
        <v>2</v>
      </c>
      <c r="D1815">
        <v>87.719999999999985</v>
      </c>
    </row>
    <row r="1816" spans="1:4">
      <c r="A1816" t="str">
        <f>"21014-4M501"</f>
        <v>21014-4M501</v>
      </c>
      <c r="B1816" t="str">
        <f>"GASKET-W/PUMP"</f>
        <v>GASKET-W/PUMP</v>
      </c>
      <c r="C1816">
        <v>37</v>
      </c>
      <c r="D1816">
        <v>88.536000000000001</v>
      </c>
    </row>
    <row r="1817" spans="1:4">
      <c r="A1817" t="str">
        <f>"21014-69T60"</f>
        <v>21014-69T60</v>
      </c>
      <c r="B1817" t="str">
        <f>"GASKET-W/PUMP"</f>
        <v>GASKET-W/PUMP</v>
      </c>
      <c r="C1817">
        <v>7</v>
      </c>
      <c r="D1817">
        <v>93.432000000000002</v>
      </c>
    </row>
    <row r="1818" spans="1:4">
      <c r="A1818" t="str">
        <f>"21014-6N201"</f>
        <v>21014-6N201</v>
      </c>
      <c r="B1818" t="str">
        <f>"GASKET-W/PUMP"</f>
        <v>GASKET-W/PUMP</v>
      </c>
      <c r="C1818">
        <v>1</v>
      </c>
      <c r="D1818">
        <v>81.599999999999994</v>
      </c>
    </row>
    <row r="1819" spans="1:4">
      <c r="A1819" t="str">
        <f>"21014-9F600"</f>
        <v>21014-9F600</v>
      </c>
      <c r="B1819" t="str">
        <f>"GASKET-WATER PU"</f>
        <v>GASKET-WATER PU</v>
      </c>
      <c r="C1819">
        <v>9</v>
      </c>
      <c r="D1819">
        <v>86.495999999999995</v>
      </c>
    </row>
    <row r="1820" spans="1:4">
      <c r="A1820" t="str">
        <f>"21021-43U1A"</f>
        <v>21021-43U1A</v>
      </c>
      <c r="B1820" t="str">
        <f>"Трубка жидкости"</f>
        <v>Трубка жидкости</v>
      </c>
      <c r="C1820">
        <v>2</v>
      </c>
      <c r="D1820">
        <v>1008.984</v>
      </c>
    </row>
    <row r="1821" spans="1:4">
      <c r="A1821" t="str">
        <f>"21046-4P100"</f>
        <v>21046-4P100</v>
      </c>
      <c r="B1821" t="str">
        <f>"BRACKET-FAN"</f>
        <v>BRACKET-FAN</v>
      </c>
      <c r="C1821">
        <v>10</v>
      </c>
      <c r="D1821">
        <v>3135.0719999999997</v>
      </c>
    </row>
    <row r="1822" spans="1:4">
      <c r="A1822" t="str">
        <f>"21049-2J200"</f>
        <v>21049-2J200</v>
      </c>
      <c r="B1822" t="str">
        <f>"SEAL-O RING"</f>
        <v>SEAL-O RING</v>
      </c>
      <c r="C1822">
        <v>21</v>
      </c>
      <c r="D1822">
        <v>51</v>
      </c>
    </row>
    <row r="1823" spans="1:4">
      <c r="A1823" t="str">
        <f>"21049-31U00"</f>
        <v>21049-31U00</v>
      </c>
      <c r="B1823" t="str">
        <f>"SEAL-O RING"</f>
        <v>SEAL-O RING</v>
      </c>
      <c r="C1823">
        <v>13</v>
      </c>
      <c r="D1823">
        <v>53.04</v>
      </c>
    </row>
    <row r="1824" spans="1:4">
      <c r="A1824" t="str">
        <f>"21049-31U03"</f>
        <v>21049-31U03</v>
      </c>
      <c r="B1824" t="str">
        <f>"RING O"</f>
        <v>RING O</v>
      </c>
      <c r="C1824">
        <v>10</v>
      </c>
      <c r="D1824">
        <v>113.83199999999999</v>
      </c>
    </row>
    <row r="1825" spans="1:4">
      <c r="A1825" t="str">
        <f>"21049-31U04"</f>
        <v>21049-31U04</v>
      </c>
      <c r="B1825" t="str">
        <f>"Кольцо уплотнительно"</f>
        <v>Кольцо уплотнительно</v>
      </c>
      <c r="C1825">
        <v>18</v>
      </c>
      <c r="D1825">
        <v>113.83199999999999</v>
      </c>
    </row>
    <row r="1826" spans="1:4">
      <c r="A1826" t="str">
        <f>"21049-4M500"</f>
        <v>21049-4M500</v>
      </c>
      <c r="B1826" t="str">
        <f>"RING-O"</f>
        <v>RING-O</v>
      </c>
      <c r="C1826">
        <v>40</v>
      </c>
      <c r="D1826">
        <v>106.08</v>
      </c>
    </row>
    <row r="1827" spans="1:4">
      <c r="A1827" t="str">
        <f>"21049-4M510"</f>
        <v>21049-4M510</v>
      </c>
      <c r="B1827" t="str">
        <f>"RING-O"</f>
        <v>RING-O</v>
      </c>
      <c r="C1827">
        <v>62</v>
      </c>
      <c r="D1827">
        <v>104.44800000000001</v>
      </c>
    </row>
    <row r="1828" spans="1:4">
      <c r="A1828" t="str">
        <f>"21049-AE000"</f>
        <v>21049-AE000</v>
      </c>
      <c r="B1828" t="str">
        <f>"SEAL-O RING"</f>
        <v>SEAL-O RING</v>
      </c>
      <c r="C1828">
        <v>9</v>
      </c>
      <c r="D1828">
        <v>51.815999999999995</v>
      </c>
    </row>
    <row r="1829" spans="1:4">
      <c r="A1829" t="str">
        <f>"21049-AE010"</f>
        <v>21049-AE010</v>
      </c>
      <c r="B1829" t="str">
        <f>"SEAL-O RING"</f>
        <v>SEAL-O RING</v>
      </c>
      <c r="C1829">
        <v>2</v>
      </c>
      <c r="D1829">
        <v>51.815999999999995</v>
      </c>
    </row>
    <row r="1830" spans="1:4">
      <c r="A1830" t="str">
        <f>"21051-4P110"</f>
        <v>21051-4P110</v>
      </c>
      <c r="B1830" t="str">
        <f>"PULLEY FAN &amp; WP"</f>
        <v>PULLEY FAN &amp; WP</v>
      </c>
      <c r="C1830">
        <v>3</v>
      </c>
      <c r="D1830">
        <v>1989.816</v>
      </c>
    </row>
    <row r="1831" spans="1:4">
      <c r="A1831" t="str">
        <f>"21060-2W20A"</f>
        <v>21060-2W20A</v>
      </c>
      <c r="B1831" t="str">
        <f>"Вентилятор воздушног"</f>
        <v>Вентилятор воздушног</v>
      </c>
      <c r="C1831">
        <v>0</v>
      </c>
      <c r="D1831">
        <v>3087.7439999999997</v>
      </c>
    </row>
    <row r="1832" spans="1:4">
      <c r="A1832" t="str">
        <f>"21060-6P00A"</f>
        <v>21060-6P00A</v>
      </c>
      <c r="B1832" t="str">
        <f>"Вентилятор воздушног"</f>
        <v>Вентилятор воздушног</v>
      </c>
      <c r="C1832">
        <v>14</v>
      </c>
      <c r="D1832">
        <v>3292.9679999999998</v>
      </c>
    </row>
    <row r="1833" spans="1:4">
      <c r="A1833" t="str">
        <f>"21060-EB300"</f>
        <v>21060-EB300</v>
      </c>
      <c r="B1833" t="str">
        <f>"Вентилятор воздушног"</f>
        <v>Вентилятор воздушног</v>
      </c>
      <c r="C1833">
        <v>3</v>
      </c>
      <c r="D1833">
        <v>4608.768</v>
      </c>
    </row>
    <row r="1834" spans="1:4">
      <c r="A1834" t="str">
        <f>"21060-VB100"</f>
        <v>21060-VB100</v>
      </c>
      <c r="B1834" t="str">
        <f>"FAN-COOLING"</f>
        <v>FAN-COOLING</v>
      </c>
      <c r="C1834">
        <v>6</v>
      </c>
      <c r="D1834">
        <v>3314.5919999999996</v>
      </c>
    </row>
    <row r="1835" spans="1:4">
      <c r="A1835" t="str">
        <f>"21060-VK50A"</f>
        <v>21060-VK50A</v>
      </c>
      <c r="B1835" t="str">
        <f>"Вентилятор воздушног"</f>
        <v>Вентилятор воздушног</v>
      </c>
      <c r="C1835">
        <v>0</v>
      </c>
      <c r="D1835">
        <v>3186.48</v>
      </c>
    </row>
    <row r="1836" spans="1:4">
      <c r="A1836" t="str">
        <f>"21060-ZQ50A"</f>
        <v>21060-ZQ50A</v>
      </c>
      <c r="B1836" t="str">
        <f>"Вентилятор воздушног"</f>
        <v>Вентилятор воздушног</v>
      </c>
      <c r="C1836">
        <v>2</v>
      </c>
      <c r="D1836">
        <v>3135.0719999999997</v>
      </c>
    </row>
    <row r="1837" spans="1:4">
      <c r="A1837" t="str">
        <f>"21082-06JX0"</f>
        <v>21082-06JX0</v>
      </c>
      <c r="B1837" t="str">
        <f>"Муфта вентилятора ох"</f>
        <v>Муфта вентилятора ох</v>
      </c>
      <c r="C1837">
        <v>1</v>
      </c>
      <c r="D1837">
        <v>4388.8559999999998</v>
      </c>
    </row>
    <row r="1838" spans="1:4">
      <c r="A1838" t="str">
        <f>"21082-0W00A"</f>
        <v>21082-0W00A</v>
      </c>
      <c r="B1838" t="str">
        <f>"Муфта вентилятора ох"</f>
        <v>Муфта вентилятора ох</v>
      </c>
      <c r="C1838">
        <v>2</v>
      </c>
      <c r="D1838">
        <v>7994.76</v>
      </c>
    </row>
    <row r="1839" spans="1:4">
      <c r="A1839" t="str">
        <f>"21082-6P00A"</f>
        <v>21082-6P00A</v>
      </c>
      <c r="B1839" t="str">
        <f>"Муфта вентилятора ох"</f>
        <v>Муфта вентилятора ох</v>
      </c>
      <c r="C1839">
        <v>4</v>
      </c>
      <c r="D1839">
        <v>6828.6959999999999</v>
      </c>
    </row>
    <row r="1840" spans="1:4">
      <c r="A1840" t="str">
        <f>"21082-7S00A"</f>
        <v>21082-7S00A</v>
      </c>
      <c r="B1840" t="str">
        <f>"Муфта вентилятора ох"</f>
        <v>Муфта вентилятора ох</v>
      </c>
      <c r="C1840">
        <v>6</v>
      </c>
      <c r="D1840">
        <v>6900.9120000000003</v>
      </c>
    </row>
    <row r="1841" spans="1:4">
      <c r="A1841" t="str">
        <f>"21082-86GX0"</f>
        <v>21082-86GX0</v>
      </c>
      <c r="B1841" t="str">
        <f>"COUPLING ASSY-F"</f>
        <v>COUPLING ASSY-F</v>
      </c>
      <c r="C1841">
        <v>4</v>
      </c>
      <c r="D1841">
        <v>4378.6559999999999</v>
      </c>
    </row>
    <row r="1842" spans="1:4">
      <c r="A1842" t="str">
        <f>"21082-AG20A"</f>
        <v>21082-AG20A</v>
      </c>
      <c r="B1842" t="str">
        <f>"Муфта вентилятора ох"</f>
        <v>Муфта вентилятора ох</v>
      </c>
      <c r="C1842">
        <v>5</v>
      </c>
      <c r="D1842">
        <v>7949.4719999999998</v>
      </c>
    </row>
    <row r="1843" spans="1:4">
      <c r="A1843" t="str">
        <f>"21082-EB30A"</f>
        <v>21082-EB30A</v>
      </c>
      <c r="B1843" t="str">
        <f>"Муфта вентилятора ох"</f>
        <v>Муфта вентилятора ох</v>
      </c>
      <c r="C1843">
        <v>5</v>
      </c>
      <c r="D1843">
        <v>9909.9120000000003</v>
      </c>
    </row>
    <row r="1844" spans="1:4">
      <c r="A1844" t="str">
        <f>"21082-VB10A"</f>
        <v>21082-VB10A</v>
      </c>
      <c r="B1844" t="str">
        <f>"Муфта вентилятора ох"</f>
        <v>Муфта вентилятора ох</v>
      </c>
      <c r="C1844">
        <v>5</v>
      </c>
      <c r="D1844">
        <v>7424.3759999999993</v>
      </c>
    </row>
    <row r="1845" spans="1:4">
      <c r="A1845" t="str">
        <f>"21200-05D02"</f>
        <v>21200-05D02</v>
      </c>
      <c r="B1845" t="str">
        <f>"THERMOSTAT ASSY"</f>
        <v>THERMOSTAT ASSY</v>
      </c>
      <c r="C1845">
        <v>20</v>
      </c>
      <c r="D1845">
        <v>527.13599999999997</v>
      </c>
    </row>
    <row r="1846" spans="1:4">
      <c r="A1846" t="str">
        <f>"21200-05D12"</f>
        <v>21200-05D12</v>
      </c>
      <c r="B1846" t="str">
        <f>"THERMOSTAT ASSY"</f>
        <v>THERMOSTAT ASSY</v>
      </c>
      <c r="C1846">
        <v>4</v>
      </c>
      <c r="D1846">
        <v>634.84799999999996</v>
      </c>
    </row>
    <row r="1847" spans="1:4">
      <c r="A1847" t="str">
        <f>"21200-0B000"</f>
        <v>21200-0B000</v>
      </c>
      <c r="B1847" t="str">
        <f>"THERMOSTAT ASSY"</f>
        <v>THERMOSTAT ASSY</v>
      </c>
      <c r="C1847">
        <v>8</v>
      </c>
      <c r="D1847">
        <v>552.83999999999992</v>
      </c>
    </row>
    <row r="1848" spans="1:4">
      <c r="A1848" t="str">
        <f>"21200-2W20A"</f>
        <v>21200-2W20A</v>
      </c>
      <c r="B1848" t="str">
        <f>"Клапан термостата ох"</f>
        <v>Клапан термостата ох</v>
      </c>
      <c r="C1848">
        <v>13</v>
      </c>
      <c r="D1848">
        <v>549.57600000000002</v>
      </c>
    </row>
    <row r="1849" spans="1:4">
      <c r="A1849" t="str">
        <f>"21200-31U1B"</f>
        <v>21200-31U1B</v>
      </c>
      <c r="B1849" t="str">
        <f>"Клапан термостата ох"</f>
        <v>Клапан термостата ох</v>
      </c>
      <c r="C1849">
        <v>14</v>
      </c>
      <c r="D1849">
        <v>1094.2559999999999</v>
      </c>
    </row>
    <row r="1850" spans="1:4">
      <c r="A1850" t="str">
        <f>"21200-41B00"</f>
        <v>21200-41B00</v>
      </c>
      <c r="B1850" t="str">
        <f>"THERMOSTAT ASSY"</f>
        <v>THERMOSTAT ASSY</v>
      </c>
      <c r="C1850">
        <v>16</v>
      </c>
      <c r="D1850">
        <v>506.73599999999993</v>
      </c>
    </row>
    <row r="1851" spans="1:4">
      <c r="A1851" t="str">
        <f>"21200-42L06"</f>
        <v>21200-42L06</v>
      </c>
      <c r="B1851" t="str">
        <f>"THERMOSTAT ASSY"</f>
        <v>THERMOSTAT ASSY</v>
      </c>
      <c r="C1851">
        <v>13</v>
      </c>
      <c r="D1851">
        <v>553.24800000000005</v>
      </c>
    </row>
    <row r="1852" spans="1:4">
      <c r="A1852" t="str">
        <f>"21200-4M500"</f>
        <v>21200-4M500</v>
      </c>
      <c r="B1852" t="str">
        <f>"THERMOSTAT ASSY"</f>
        <v>THERMOSTAT ASSY</v>
      </c>
      <c r="C1852">
        <v>44</v>
      </c>
      <c r="D1852">
        <v>529.58399999999995</v>
      </c>
    </row>
    <row r="1853" spans="1:4">
      <c r="A1853" t="str">
        <f>"21200-4W01B"</f>
        <v>21200-4W01B</v>
      </c>
      <c r="B1853" t="str">
        <f>"Клапан термостата ох"</f>
        <v>Клапан термостата ох</v>
      </c>
      <c r="C1853">
        <v>18</v>
      </c>
      <c r="D1853">
        <v>982.05599999999993</v>
      </c>
    </row>
    <row r="1854" spans="1:4">
      <c r="A1854" t="str">
        <f>"21200-57J05"</f>
        <v>21200-57J05</v>
      </c>
      <c r="B1854" t="str">
        <f t="shared" ref="B1854:B1859" si="30">"THERMOSTAT ASSY"</f>
        <v>THERMOSTAT ASSY</v>
      </c>
      <c r="C1854">
        <v>2</v>
      </c>
      <c r="D1854">
        <v>569.16</v>
      </c>
    </row>
    <row r="1855" spans="1:4">
      <c r="A1855" t="str">
        <f>"21200-60J00"</f>
        <v>21200-60J00</v>
      </c>
      <c r="B1855" t="str">
        <f t="shared" si="30"/>
        <v>THERMOSTAT ASSY</v>
      </c>
      <c r="C1855">
        <v>25</v>
      </c>
      <c r="D1855">
        <v>531.62399999999991</v>
      </c>
    </row>
    <row r="1856" spans="1:4">
      <c r="A1856" t="str">
        <f>"21200-6N210"</f>
        <v>21200-6N210</v>
      </c>
      <c r="B1856" t="str">
        <f t="shared" si="30"/>
        <v>THERMOSTAT ASSY</v>
      </c>
      <c r="C1856">
        <v>18</v>
      </c>
      <c r="D1856">
        <v>478.99200000000002</v>
      </c>
    </row>
    <row r="1857" spans="1:4">
      <c r="A1857" t="str">
        <f>"21200-77A63"</f>
        <v>21200-77A63</v>
      </c>
      <c r="B1857" t="str">
        <f t="shared" si="30"/>
        <v>THERMOSTAT ASSY</v>
      </c>
      <c r="C1857">
        <v>6</v>
      </c>
      <c r="D1857">
        <v>472.87199999999996</v>
      </c>
    </row>
    <row r="1858" spans="1:4">
      <c r="A1858" t="str">
        <f>"21200-77A66"</f>
        <v>21200-77A66</v>
      </c>
      <c r="B1858" t="str">
        <f t="shared" si="30"/>
        <v>THERMOSTAT ASSY</v>
      </c>
      <c r="C1858">
        <v>57</v>
      </c>
      <c r="D1858">
        <v>510.81599999999997</v>
      </c>
    </row>
    <row r="1859" spans="1:4">
      <c r="A1859" t="str">
        <f>"21200-80W05"</f>
        <v>21200-80W05</v>
      </c>
      <c r="B1859" t="str">
        <f t="shared" si="30"/>
        <v>THERMOSTAT ASSY</v>
      </c>
      <c r="C1859">
        <v>2</v>
      </c>
      <c r="D1859">
        <v>524.28</v>
      </c>
    </row>
    <row r="1860" spans="1:4">
      <c r="A1860" t="str">
        <f>"21200-8J10B"</f>
        <v>21200-8J10B</v>
      </c>
      <c r="B1860" t="str">
        <f t="shared" ref="B1860:B1865" si="31">"Клапан термостата ох"</f>
        <v>Клапан термостата ох</v>
      </c>
      <c r="C1860">
        <v>5</v>
      </c>
      <c r="D1860">
        <v>1169.7359999999999</v>
      </c>
    </row>
    <row r="1861" spans="1:4">
      <c r="A1861" t="str">
        <f>"21200-95F0A"</f>
        <v>21200-95F0A</v>
      </c>
      <c r="B1861" t="str">
        <f t="shared" si="31"/>
        <v>Клапан термостата ох</v>
      </c>
      <c r="C1861">
        <v>22</v>
      </c>
      <c r="D1861">
        <v>556.10400000000004</v>
      </c>
    </row>
    <row r="1862" spans="1:4">
      <c r="A1862" t="str">
        <f>"21200-9Y400"</f>
        <v>21200-9Y400</v>
      </c>
      <c r="B1862" t="str">
        <f t="shared" si="31"/>
        <v>Клапан термостата ох</v>
      </c>
      <c r="C1862">
        <v>14</v>
      </c>
      <c r="D1862">
        <v>1011.0239999999999</v>
      </c>
    </row>
    <row r="1863" spans="1:4">
      <c r="A1863" t="str">
        <f>"21200-AD201"</f>
        <v>21200-AD201</v>
      </c>
      <c r="B1863" t="str">
        <f t="shared" si="31"/>
        <v>Клапан термостата ох</v>
      </c>
      <c r="C1863">
        <v>27</v>
      </c>
      <c r="D1863">
        <v>518.976</v>
      </c>
    </row>
    <row r="1864" spans="1:4">
      <c r="A1864" t="str">
        <f>"21200-BX000"</f>
        <v>21200-BX000</v>
      </c>
      <c r="B1864" t="str">
        <f t="shared" si="31"/>
        <v>Клапан термостата ох</v>
      </c>
      <c r="C1864">
        <v>11</v>
      </c>
      <c r="D1864">
        <v>919.63199999999995</v>
      </c>
    </row>
    <row r="1865" spans="1:4">
      <c r="A1865" t="str">
        <f>"21200-ED00A"</f>
        <v>21200-ED00A</v>
      </c>
      <c r="B1865" t="str">
        <f t="shared" si="31"/>
        <v>Клапан термостата ох</v>
      </c>
      <c r="C1865">
        <v>38</v>
      </c>
      <c r="D1865">
        <v>536.928</v>
      </c>
    </row>
    <row r="1866" spans="1:4">
      <c r="A1866" t="str">
        <f>"21200-P7906"</f>
        <v>21200-P7906</v>
      </c>
      <c r="B1866" t="str">
        <f>"THERMOSTAT ASSY"</f>
        <v>THERMOSTAT ASSY</v>
      </c>
      <c r="C1866">
        <v>4</v>
      </c>
      <c r="D1866">
        <v>544.67999999999995</v>
      </c>
    </row>
    <row r="1867" spans="1:4">
      <c r="A1867" t="str">
        <f>"21200-V5015"</f>
        <v>21200-V5015</v>
      </c>
      <c r="B1867" t="str">
        <f>"THERMOSTAT ASSY"</f>
        <v>THERMOSTAT ASSY</v>
      </c>
      <c r="C1867">
        <v>9</v>
      </c>
      <c r="D1867">
        <v>559.77599999999995</v>
      </c>
    </row>
    <row r="1868" spans="1:4">
      <c r="A1868" t="str">
        <f>"21200-VB007"</f>
        <v>21200-VB007</v>
      </c>
      <c r="B1868" t="str">
        <f>"THERMOSTAT ASSY"</f>
        <v>THERMOSTAT ASSY</v>
      </c>
      <c r="C1868">
        <v>9</v>
      </c>
      <c r="D1868">
        <v>620.976</v>
      </c>
    </row>
    <row r="1869" spans="1:4">
      <c r="A1869" t="str">
        <f>"21200-VJ200"</f>
        <v>21200-VJ200</v>
      </c>
      <c r="B1869" t="str">
        <f>"Клапан термостата ох"</f>
        <v>Клапан термостата ох</v>
      </c>
      <c r="C1869">
        <v>12</v>
      </c>
      <c r="D1869">
        <v>546.72</v>
      </c>
    </row>
    <row r="1870" spans="1:4">
      <c r="A1870" t="str">
        <f>"21230-6N20A"</f>
        <v>21230-6N20A</v>
      </c>
      <c r="B1870" t="str">
        <f>"Клапан жидкости охла"</f>
        <v>Клапан жидкости охла</v>
      </c>
      <c r="C1870">
        <v>63</v>
      </c>
      <c r="D1870">
        <v>457.77600000000001</v>
      </c>
    </row>
    <row r="1871" spans="1:4">
      <c r="A1871" t="str">
        <f>"21304-17F20"</f>
        <v>21304-17F20</v>
      </c>
      <c r="B1871" t="str">
        <f>"RING O"</f>
        <v>RING O</v>
      </c>
      <c r="C1871">
        <v>26</v>
      </c>
      <c r="D1871">
        <v>158.71199999999999</v>
      </c>
    </row>
    <row r="1872" spans="1:4">
      <c r="A1872" t="str">
        <f>"21304-JA11A"</f>
        <v>21304-JA11A</v>
      </c>
      <c r="B1872" t="str">
        <f>"Уплотнительное кольц"</f>
        <v>Уплотнительное кольц</v>
      </c>
      <c r="C1872">
        <v>0</v>
      </c>
      <c r="D1872">
        <v>116.68799999999999</v>
      </c>
    </row>
    <row r="1873" spans="1:4">
      <c r="A1873" t="str">
        <f>"21305-CG00A"</f>
        <v>21305-CG00A</v>
      </c>
      <c r="B1873" t="str">
        <f>"Охладитель масла"</f>
        <v>Охладитель масла</v>
      </c>
      <c r="C1873">
        <v>3</v>
      </c>
      <c r="D1873">
        <v>10561.487999999999</v>
      </c>
    </row>
    <row r="1874" spans="1:4">
      <c r="A1874" t="str">
        <f>"21305-CG01A"</f>
        <v>21305-CG01A</v>
      </c>
      <c r="B1874" t="str">
        <f>"COOLER ASSY-OIL"</f>
        <v>COOLER ASSY-OIL</v>
      </c>
      <c r="C1874">
        <v>0</v>
      </c>
      <c r="D1874">
        <v>10561.487999999999</v>
      </c>
    </row>
    <row r="1875" spans="1:4">
      <c r="A1875" t="str">
        <f>"21305-JA11B"</f>
        <v>21305-JA11B</v>
      </c>
      <c r="B1875" t="str">
        <f>"Трубка охлаждения ма"</f>
        <v>Трубка охлаждения ма</v>
      </c>
      <c r="C1875">
        <v>2</v>
      </c>
      <c r="D1875">
        <v>10465.608</v>
      </c>
    </row>
    <row r="1876" spans="1:4">
      <c r="A1876" t="str">
        <f>"21305-JA12B"</f>
        <v>21305-JA12B</v>
      </c>
      <c r="B1876" t="str">
        <f>"Патрубок охлажде"</f>
        <v>Патрубок охлажде</v>
      </c>
      <c r="C1876">
        <v>0</v>
      </c>
      <c r="D1876">
        <v>10465.608</v>
      </c>
    </row>
    <row r="1877" spans="1:4">
      <c r="A1877" t="str">
        <f>"21306-AQ805"</f>
        <v>21306-AQ805</v>
      </c>
      <c r="B1877" t="str">
        <f>"HOSE WATER"</f>
        <v>HOSE WATER</v>
      </c>
      <c r="C1877">
        <v>0</v>
      </c>
      <c r="D1877">
        <v>656.47199999999987</v>
      </c>
    </row>
    <row r="1878" spans="1:4">
      <c r="A1878" t="str">
        <f>"21308-EB300"</f>
        <v>21308-EB300</v>
      </c>
      <c r="B1878" t="str">
        <f>"Патрубок"</f>
        <v>Патрубок</v>
      </c>
      <c r="C1878">
        <v>0</v>
      </c>
      <c r="D1878">
        <v>373.72800000000001</v>
      </c>
    </row>
    <row r="1879" spans="1:4">
      <c r="A1879" t="str">
        <f>"21334-02N00"</f>
        <v>21334-02N00</v>
      </c>
      <c r="B1879" t="str">
        <f>"RING RUBBER"</f>
        <v>RING RUBBER</v>
      </c>
      <c r="C1879">
        <v>9</v>
      </c>
      <c r="D1879">
        <v>150.55199999999999</v>
      </c>
    </row>
    <row r="1880" spans="1:4">
      <c r="A1880" t="str">
        <f>"21334-30F00"</f>
        <v>21334-30F00</v>
      </c>
      <c r="B1880" t="str">
        <f>"RING-RUBBER OIL"</f>
        <v>RING-RUBBER OIL</v>
      </c>
      <c r="C1880">
        <v>18</v>
      </c>
      <c r="D1880">
        <v>136.68</v>
      </c>
    </row>
    <row r="1881" spans="1:4">
      <c r="A1881" t="str">
        <f>"21355-0Y801"</f>
        <v>21355-0Y801</v>
      </c>
      <c r="B1881" t="str">
        <f>"HOSE-OIL COOLER"</f>
        <v>HOSE-OIL COOLER</v>
      </c>
      <c r="C1881">
        <v>6</v>
      </c>
      <c r="D1881">
        <v>3170.5679999999998</v>
      </c>
    </row>
    <row r="1882" spans="1:4">
      <c r="A1882" t="str">
        <f>"21356-VB310"</f>
        <v>21356-VB310</v>
      </c>
      <c r="B1882" t="str">
        <f>"PIPE ASSY-OIL,O"</f>
        <v>PIPE ASSY-OIL,O</v>
      </c>
      <c r="C1882">
        <v>5</v>
      </c>
      <c r="D1882">
        <v>1720.9439999999997</v>
      </c>
    </row>
    <row r="1883" spans="1:4">
      <c r="A1883" t="str">
        <f>"21400-95F0C"</f>
        <v>21400-95F0C</v>
      </c>
      <c r="B1883" t="str">
        <f t="shared" ref="B1883:B1890" si="32">"Радиатор охлаждения "</f>
        <v xml:space="preserve">Радиатор охлаждения </v>
      </c>
      <c r="C1883">
        <v>2</v>
      </c>
      <c r="D1883">
        <v>6497.808</v>
      </c>
    </row>
    <row r="1884" spans="1:4">
      <c r="A1884" t="str">
        <f>"21400-95F0E"</f>
        <v>21400-95F0E</v>
      </c>
      <c r="B1884" t="str">
        <f t="shared" si="32"/>
        <v xml:space="preserve">Радиатор охлаждения </v>
      </c>
      <c r="C1884">
        <v>6</v>
      </c>
      <c r="D1884">
        <v>11220</v>
      </c>
    </row>
    <row r="1885" spans="1:4">
      <c r="A1885" t="str">
        <f>"21400-BC00A"</f>
        <v>21400-BC00A</v>
      </c>
      <c r="B1885" t="str">
        <f t="shared" si="32"/>
        <v xml:space="preserve">Радиатор охлаждения </v>
      </c>
      <c r="C1885">
        <v>0</v>
      </c>
      <c r="D1885">
        <v>6421.1040000000003</v>
      </c>
    </row>
    <row r="1886" spans="1:4">
      <c r="A1886" t="str">
        <f>"21400-BC00B"</f>
        <v>21400-BC00B</v>
      </c>
      <c r="B1886" t="str">
        <f t="shared" si="32"/>
        <v xml:space="preserve">Радиатор охлаждения </v>
      </c>
      <c r="C1886">
        <v>0</v>
      </c>
      <c r="D1886">
        <v>6421.1040000000003</v>
      </c>
    </row>
    <row r="1887" spans="1:4">
      <c r="A1887" t="str">
        <f>"21400-JD900"</f>
        <v>21400-JD900</v>
      </c>
      <c r="B1887" t="str">
        <f t="shared" si="32"/>
        <v xml:space="preserve">Радиатор охлаждения </v>
      </c>
      <c r="C1887">
        <v>3</v>
      </c>
      <c r="D1887">
        <v>7337.8799999999992</v>
      </c>
    </row>
    <row r="1888" spans="1:4">
      <c r="A1888" t="str">
        <f>"21400-JG300"</f>
        <v>21400-JG300</v>
      </c>
      <c r="B1888" t="str">
        <f t="shared" si="32"/>
        <v xml:space="preserve">Радиатор охлаждения </v>
      </c>
      <c r="C1888">
        <v>2</v>
      </c>
      <c r="D1888">
        <v>9860.5439999999999</v>
      </c>
    </row>
    <row r="1889" spans="1:4">
      <c r="A1889" t="str">
        <f>"21400-JG40A"</f>
        <v>21400-JG40A</v>
      </c>
      <c r="B1889" t="str">
        <f t="shared" si="32"/>
        <v xml:space="preserve">Радиатор охлаждения </v>
      </c>
      <c r="C1889">
        <v>3</v>
      </c>
      <c r="D1889">
        <v>9384</v>
      </c>
    </row>
    <row r="1890" spans="1:4">
      <c r="A1890" t="str">
        <f>"21400-JG45B"</f>
        <v>21400-JG45B</v>
      </c>
      <c r="B1890" t="str">
        <f t="shared" si="32"/>
        <v xml:space="preserve">Радиатор охлаждения </v>
      </c>
      <c r="C1890">
        <v>2</v>
      </c>
      <c r="D1890">
        <v>9860.5439999999999</v>
      </c>
    </row>
    <row r="1891" spans="1:4">
      <c r="A1891" t="str">
        <f>"21410-2Y903"</f>
        <v>21410-2Y903</v>
      </c>
      <c r="B1891" t="str">
        <f>"RADIATOR ASSY"</f>
        <v>RADIATOR ASSY</v>
      </c>
      <c r="C1891">
        <v>1</v>
      </c>
      <c r="D1891">
        <v>8943.36</v>
      </c>
    </row>
    <row r="1892" spans="1:4">
      <c r="A1892" t="str">
        <f>"21410-2Y90A"</f>
        <v>21410-2Y90A</v>
      </c>
      <c r="B1892" t="str">
        <f>"RAD ASSY"</f>
        <v>RAD ASSY</v>
      </c>
      <c r="C1892">
        <v>3</v>
      </c>
      <c r="D1892">
        <v>8943.36</v>
      </c>
    </row>
    <row r="1893" spans="1:4">
      <c r="A1893" t="str">
        <f>"21410-7C002"</f>
        <v>21410-7C002</v>
      </c>
      <c r="B1893" t="str">
        <f>"RADIATOR ASSY"</f>
        <v>RADIATOR ASSY</v>
      </c>
      <c r="C1893">
        <v>0</v>
      </c>
      <c r="D1893">
        <v>6190.9919999999993</v>
      </c>
    </row>
    <row r="1894" spans="1:4">
      <c r="A1894" t="str">
        <f>"21410-7F400"</f>
        <v>21410-7F400</v>
      </c>
      <c r="B1894" t="str">
        <f>"RADIATOR ASSY"</f>
        <v>RADIATOR ASSY</v>
      </c>
      <c r="C1894">
        <v>1</v>
      </c>
      <c r="D1894">
        <v>6190.9919999999993</v>
      </c>
    </row>
    <row r="1895" spans="1:4">
      <c r="A1895" t="str">
        <f>"21410-BH41A"</f>
        <v>21410-BH41A</v>
      </c>
      <c r="B1895" t="str">
        <f>"Радиатор охлаждения "</f>
        <v xml:space="preserve">Радиатор охлаждения </v>
      </c>
      <c r="C1895">
        <v>1</v>
      </c>
      <c r="D1895">
        <v>6421.1040000000003</v>
      </c>
    </row>
    <row r="1896" spans="1:4">
      <c r="A1896" t="str">
        <f>"21410-BM40A"</f>
        <v>21410-BM40A</v>
      </c>
      <c r="B1896" t="str">
        <f>"Радиатор охлаждения "</f>
        <v xml:space="preserve">Радиатор охлаждения </v>
      </c>
      <c r="C1896">
        <v>0</v>
      </c>
      <c r="D1896">
        <v>6190.9919999999993</v>
      </c>
    </row>
    <row r="1897" spans="1:4">
      <c r="A1897" t="str">
        <f>"21410-EQ30B"</f>
        <v>21410-EQ30B</v>
      </c>
      <c r="B1897" t="str">
        <f>"Радиатор охлаждения "</f>
        <v xml:space="preserve">Радиатор охлаждения </v>
      </c>
      <c r="C1897">
        <v>1</v>
      </c>
      <c r="D1897">
        <v>8713.655999999999</v>
      </c>
    </row>
    <row r="1898" spans="1:4">
      <c r="A1898" t="str">
        <f>"21410-VB100"</f>
        <v>21410-VB100</v>
      </c>
      <c r="B1898" t="str">
        <f>"RADIATOR ASSY"</f>
        <v>RADIATOR ASSY</v>
      </c>
      <c r="C1898">
        <v>2</v>
      </c>
      <c r="D1898">
        <v>9860.5439999999999</v>
      </c>
    </row>
    <row r="1899" spans="1:4">
      <c r="A1899" t="str">
        <f>"21410-VB301"</f>
        <v>21410-VB301</v>
      </c>
      <c r="B1899" t="str">
        <f>"RADIATOR ASSY"</f>
        <v>RADIATOR ASSY</v>
      </c>
      <c r="C1899">
        <v>0</v>
      </c>
      <c r="D1899">
        <v>8943.36</v>
      </c>
    </row>
    <row r="1900" spans="1:4">
      <c r="A1900" t="str">
        <f>"21410-VB800"</f>
        <v>21410-VB800</v>
      </c>
      <c r="B1900" t="str">
        <f>"RADIATOR ASSY"</f>
        <v>RADIATOR ASSY</v>
      </c>
      <c r="C1900">
        <v>1</v>
      </c>
      <c r="D1900">
        <v>9860.5439999999999</v>
      </c>
    </row>
    <row r="1901" spans="1:4">
      <c r="A1901" t="str">
        <f>"21410-ZW40A"</f>
        <v>21410-ZW40A</v>
      </c>
      <c r="B1901" t="str">
        <f>"Радиатор охлаждения "</f>
        <v xml:space="preserve">Радиатор охлаждения </v>
      </c>
      <c r="C1901">
        <v>2</v>
      </c>
      <c r="D1901">
        <v>6649.5839999999998</v>
      </c>
    </row>
    <row r="1902" spans="1:4">
      <c r="A1902" t="str">
        <f>"21414-0P000"</f>
        <v>21414-0P000</v>
      </c>
      <c r="B1902" t="str">
        <f>"SEAL-PACKING,RA"</f>
        <v>SEAL-PACKING,RA</v>
      </c>
      <c r="C1902">
        <v>7</v>
      </c>
      <c r="D1902">
        <v>521.83199999999999</v>
      </c>
    </row>
    <row r="1903" spans="1:4">
      <c r="A1903" t="str">
        <f>"21430-1P107"</f>
        <v>21430-1P107</v>
      </c>
      <c r="B1903" t="str">
        <f>"CAP ASSY-RADIAT"</f>
        <v>CAP ASSY-RADIAT</v>
      </c>
      <c r="C1903">
        <v>20</v>
      </c>
      <c r="D1903">
        <v>238.27199999999999</v>
      </c>
    </row>
    <row r="1904" spans="1:4">
      <c r="A1904" t="str">
        <f>"21430-50A02"</f>
        <v>21430-50A02</v>
      </c>
      <c r="B1904" t="str">
        <f>"CAP ASSY-PRESSU"</f>
        <v>CAP ASSY-PRESSU</v>
      </c>
      <c r="C1904">
        <v>15</v>
      </c>
      <c r="D1904">
        <v>322.32</v>
      </c>
    </row>
    <row r="1905" spans="1:4">
      <c r="A1905" t="str">
        <f>"21430-79901"</f>
        <v>21430-79901</v>
      </c>
      <c r="B1905" t="str">
        <f>"CAP ASSY-PRESSU"</f>
        <v>CAP ASSY-PRESSU</v>
      </c>
      <c r="C1905">
        <v>0</v>
      </c>
      <c r="D1905">
        <v>319.05599999999998</v>
      </c>
    </row>
    <row r="1906" spans="1:4">
      <c r="A1906" t="str">
        <f>"21430-7S001"</f>
        <v>21430-7S001</v>
      </c>
      <c r="B1906" t="str">
        <f>"Крышка радиатора"</f>
        <v>Крышка радиатора</v>
      </c>
      <c r="C1906">
        <v>46</v>
      </c>
      <c r="D1906">
        <v>245.208</v>
      </c>
    </row>
    <row r="1907" spans="1:4">
      <c r="A1907" t="str">
        <f>"21430-8991A"</f>
        <v>21430-8991A</v>
      </c>
      <c r="B1907" t="str">
        <f>"Крышка радиатора"</f>
        <v>Крышка радиатора</v>
      </c>
      <c r="C1907">
        <v>4</v>
      </c>
      <c r="D1907">
        <v>317.83199999999999</v>
      </c>
    </row>
    <row r="1908" spans="1:4">
      <c r="A1908" t="str">
        <f>"21430-95F0C"</f>
        <v>21430-95F0C</v>
      </c>
      <c r="B1908" t="str">
        <f>"Крышка радиатора"</f>
        <v>Крышка радиатора</v>
      </c>
      <c r="C1908">
        <v>0</v>
      </c>
      <c r="D1908">
        <v>324.76799999999997</v>
      </c>
    </row>
    <row r="1909" spans="1:4">
      <c r="A1909" t="str">
        <f>"21430-9C001"</f>
        <v>21430-9C001</v>
      </c>
      <c r="B1909" t="str">
        <f>"CAP ASSY-RADIAT"</f>
        <v>CAP ASSY-RADIAT</v>
      </c>
      <c r="C1909">
        <v>4</v>
      </c>
      <c r="D1909">
        <v>429.62399999999997</v>
      </c>
    </row>
    <row r="1910" spans="1:4">
      <c r="A1910" t="str">
        <f>"21430-9C002"</f>
        <v>21430-9C002</v>
      </c>
      <c r="B1910" t="str">
        <f>"CAP ASSY-RADIAT"</f>
        <v>CAP ASSY-RADIAT</v>
      </c>
      <c r="C1910">
        <v>4</v>
      </c>
      <c r="D1910">
        <v>508.36799999999994</v>
      </c>
    </row>
    <row r="1911" spans="1:4">
      <c r="A1911" t="str">
        <f>"21440-50Y00"</f>
        <v>21440-50Y00</v>
      </c>
      <c r="B1911" t="str">
        <f>"SEAT-DRAIN"</f>
        <v>SEAT-DRAIN</v>
      </c>
      <c r="C1911">
        <v>20</v>
      </c>
      <c r="D1911">
        <v>231.744</v>
      </c>
    </row>
    <row r="1912" spans="1:4">
      <c r="A1912" t="str">
        <f>"21460-1BF0A"</f>
        <v>21460-1BF0A</v>
      </c>
      <c r="B1912" t="str">
        <f>"Радиатор охлаждения "</f>
        <v xml:space="preserve">Радиатор охлаждения </v>
      </c>
      <c r="C1912">
        <v>1</v>
      </c>
      <c r="D1912">
        <v>11210.208000000001</v>
      </c>
    </row>
    <row r="1913" spans="1:4">
      <c r="A1913" t="str">
        <f>"21460-2Y60A"</f>
        <v>21460-2Y60A</v>
      </c>
      <c r="B1913" t="str">
        <f>"RAD ASSY W/OIL"</f>
        <v>RAD ASSY W/OIL</v>
      </c>
      <c r="C1913">
        <v>1</v>
      </c>
      <c r="D1913">
        <v>10777.32</v>
      </c>
    </row>
    <row r="1914" spans="1:4">
      <c r="A1914" t="str">
        <f>"21460-9FD1B"</f>
        <v>21460-9FD1B</v>
      </c>
      <c r="B1914" t="str">
        <f>"Радиатор охлаждения "</f>
        <v xml:space="preserve">Радиатор охлаждения </v>
      </c>
      <c r="C1914">
        <v>7</v>
      </c>
      <c r="D1914">
        <v>9582.6959999999999</v>
      </c>
    </row>
    <row r="1915" spans="1:4">
      <c r="A1915" t="str">
        <f>"21460-9W61A"</f>
        <v>21460-9W61A</v>
      </c>
      <c r="B1915" t="str">
        <f>"Радиатор охлаждения "</f>
        <v xml:space="preserve">Радиатор охлаждения </v>
      </c>
      <c r="C1915">
        <v>3</v>
      </c>
      <c r="D1915">
        <v>10089.84</v>
      </c>
    </row>
    <row r="1916" spans="1:4">
      <c r="A1916" t="str">
        <f>"21460-AM900"</f>
        <v>21460-AM900</v>
      </c>
      <c r="B1916" t="str">
        <f>"Радиатор охлаждения "</f>
        <v xml:space="preserve">Радиатор охлаждения </v>
      </c>
      <c r="C1916">
        <v>2</v>
      </c>
      <c r="D1916">
        <v>9206.52</v>
      </c>
    </row>
    <row r="1917" spans="1:4">
      <c r="A1917" t="str">
        <f>"21460-AQ800"</f>
        <v>21460-AQ800</v>
      </c>
      <c r="B1917" t="str">
        <f>"Радиатор охлаждения "</f>
        <v xml:space="preserve">Радиатор охлаждения </v>
      </c>
      <c r="C1917">
        <v>4</v>
      </c>
      <c r="D1917">
        <v>14892</v>
      </c>
    </row>
    <row r="1918" spans="1:4">
      <c r="A1918" t="str">
        <f>"21460-AV600"</f>
        <v>21460-AV600</v>
      </c>
      <c r="B1918" t="str">
        <f>"RADIATOR ASSY"</f>
        <v>RADIATOR ASSY</v>
      </c>
      <c r="C1918">
        <v>1</v>
      </c>
      <c r="D1918">
        <v>7337.8799999999992</v>
      </c>
    </row>
    <row r="1919" spans="1:4">
      <c r="A1919" t="str">
        <f>"21460-AV700"</f>
        <v>21460-AV700</v>
      </c>
      <c r="B1919" t="str">
        <f>"RADIATOR ASSY"</f>
        <v>RADIATOR ASSY</v>
      </c>
      <c r="C1919">
        <v>1</v>
      </c>
      <c r="D1919">
        <v>7337.8799999999992</v>
      </c>
    </row>
    <row r="1920" spans="1:4">
      <c r="A1920" t="str">
        <f>"21460-BH51A"</f>
        <v>21460-BH51A</v>
      </c>
      <c r="B1920" t="str">
        <f>"Радиатор охлаждения "</f>
        <v xml:space="preserve">Радиатор охлаждения </v>
      </c>
      <c r="C1920">
        <v>3</v>
      </c>
      <c r="D1920">
        <v>6421.1040000000003</v>
      </c>
    </row>
    <row r="1921" spans="1:4">
      <c r="A1921" t="str">
        <f>"21460-CC00A"</f>
        <v>21460-CC00A</v>
      </c>
      <c r="B1921" t="str">
        <f>"Радиатор охлаждения "</f>
        <v xml:space="preserve">Радиатор охлаждения </v>
      </c>
      <c r="C1921">
        <v>1</v>
      </c>
      <c r="D1921">
        <v>9860.5439999999999</v>
      </c>
    </row>
    <row r="1922" spans="1:4">
      <c r="A1922" t="str">
        <f>"21460-CM80B"</f>
        <v>21460-CM80B</v>
      </c>
      <c r="B1922" t="str">
        <f>"Радиатор охлаждения "</f>
        <v xml:space="preserve">Радиатор охлаждения </v>
      </c>
      <c r="C1922">
        <v>14</v>
      </c>
      <c r="D1922">
        <v>15013.991999999998</v>
      </c>
    </row>
    <row r="1923" spans="1:4">
      <c r="A1923" t="str">
        <f>"21460-CM81B"</f>
        <v>21460-CM81B</v>
      </c>
      <c r="B1923" t="str">
        <f>"Радиатор охлаждения "</f>
        <v xml:space="preserve">Радиатор охлаждения </v>
      </c>
      <c r="C1923">
        <v>6</v>
      </c>
      <c r="D1923">
        <v>15425.255999999998</v>
      </c>
    </row>
    <row r="1924" spans="1:4">
      <c r="A1924" t="str">
        <f>"21460-EB30A"</f>
        <v>21460-EB30A</v>
      </c>
      <c r="B1924" t="str">
        <f>"RADIATOR ASSY"</f>
        <v>RADIATOR ASSY</v>
      </c>
      <c r="C1924">
        <v>2</v>
      </c>
      <c r="D1924">
        <v>9860.5439999999999</v>
      </c>
    </row>
    <row r="1925" spans="1:4">
      <c r="A1925" t="str">
        <f>"21460-EB80A"</f>
        <v>21460-EB80A</v>
      </c>
      <c r="B1925" t="str">
        <f t="shared" ref="B1925:B1930" si="33">"Радиатор охлаждения "</f>
        <v xml:space="preserve">Радиатор охлаждения </v>
      </c>
      <c r="C1925">
        <v>4</v>
      </c>
      <c r="D1925">
        <v>19540.751999999997</v>
      </c>
    </row>
    <row r="1926" spans="1:4">
      <c r="A1926" t="str">
        <f>"21460-EJ30A"</f>
        <v>21460-EJ30A</v>
      </c>
      <c r="B1926" t="str">
        <f t="shared" si="33"/>
        <v xml:space="preserve">Радиатор охлаждения </v>
      </c>
      <c r="C1926">
        <v>3</v>
      </c>
      <c r="D1926">
        <v>11023.344000000001</v>
      </c>
    </row>
    <row r="1927" spans="1:4">
      <c r="A1927" t="str">
        <f>"21460-EL10B"</f>
        <v>21460-EL10B</v>
      </c>
      <c r="B1927" t="str">
        <f t="shared" si="33"/>
        <v xml:space="preserve">Радиатор охлаждения </v>
      </c>
      <c r="C1927">
        <v>2</v>
      </c>
      <c r="D1927">
        <v>6649.5839999999998</v>
      </c>
    </row>
    <row r="1928" spans="1:4">
      <c r="A1928" t="str">
        <f>"21460-EQ30B"</f>
        <v>21460-EQ30B</v>
      </c>
      <c r="B1928" t="str">
        <f t="shared" si="33"/>
        <v xml:space="preserve">Радиатор охлаждения </v>
      </c>
      <c r="C1928">
        <v>0</v>
      </c>
      <c r="D1928">
        <v>8713.655999999999</v>
      </c>
    </row>
    <row r="1929" spans="1:4">
      <c r="A1929" t="str">
        <f>"21460-JK90B"</f>
        <v>21460-JK90B</v>
      </c>
      <c r="B1929" t="str">
        <f t="shared" si="33"/>
        <v xml:space="preserve">Радиатор охлаждения </v>
      </c>
      <c r="C1929">
        <v>5</v>
      </c>
      <c r="D1929">
        <v>25881.48</v>
      </c>
    </row>
    <row r="1930" spans="1:4">
      <c r="A1930" t="str">
        <f>"21460-JN90A"</f>
        <v>21460-JN90A</v>
      </c>
      <c r="B1930" t="str">
        <f t="shared" si="33"/>
        <v xml:space="preserve">Радиатор охлаждения </v>
      </c>
      <c r="C1930">
        <v>1</v>
      </c>
      <c r="D1930">
        <v>10089.84</v>
      </c>
    </row>
    <row r="1931" spans="1:4">
      <c r="A1931" t="str">
        <f>"21460-VB100"</f>
        <v>21460-VB100</v>
      </c>
      <c r="B1931" t="str">
        <f>"RADIATOR ASSY"</f>
        <v>RADIATOR ASSY</v>
      </c>
      <c r="C1931">
        <v>3</v>
      </c>
      <c r="D1931">
        <v>10200</v>
      </c>
    </row>
    <row r="1932" spans="1:4">
      <c r="A1932" t="str">
        <f>"21460-VB800"</f>
        <v>21460-VB800</v>
      </c>
      <c r="B1932" t="str">
        <f>"RADIATOR ASSY"</f>
        <v>RADIATOR ASSY</v>
      </c>
      <c r="C1932">
        <v>3</v>
      </c>
      <c r="D1932">
        <v>9860.5439999999999</v>
      </c>
    </row>
    <row r="1933" spans="1:4">
      <c r="A1933" t="str">
        <f>"21460-VC20A"</f>
        <v>21460-VC20A</v>
      </c>
      <c r="B1933" t="str">
        <f>"Радиатор охлаждения "</f>
        <v xml:space="preserve">Радиатор охлаждения </v>
      </c>
      <c r="C1933">
        <v>0</v>
      </c>
      <c r="D1933">
        <v>12612.096</v>
      </c>
    </row>
    <row r="1934" spans="1:4">
      <c r="A1934" t="str">
        <f>"21468-EB30A"</f>
        <v>21468-EB30A</v>
      </c>
      <c r="B1934" t="str">
        <f>"Кожух радиатора охла"</f>
        <v>Кожух радиатора охла</v>
      </c>
      <c r="C1934">
        <v>5</v>
      </c>
      <c r="D1934">
        <v>1282.752</v>
      </c>
    </row>
    <row r="1935" spans="1:4">
      <c r="A1935" t="str">
        <f>"21475-95F0A"</f>
        <v>21475-95F0A</v>
      </c>
      <c r="B1935" t="str">
        <f>"Кожух вентиляторов о"</f>
        <v>Кожух вентиляторов о</v>
      </c>
      <c r="C1935">
        <v>5</v>
      </c>
      <c r="D1935">
        <v>3901.7039999999997</v>
      </c>
    </row>
    <row r="1936" spans="1:4">
      <c r="A1936" t="str">
        <f>"21476-CG200"</f>
        <v>21476-CG200</v>
      </c>
      <c r="B1936" t="str">
        <f>"SHROUD-UPPER"</f>
        <v>SHROUD-UPPER</v>
      </c>
      <c r="C1936">
        <v>1</v>
      </c>
      <c r="D1936">
        <v>3849.0719999999997</v>
      </c>
    </row>
    <row r="1937" spans="1:4">
      <c r="A1937" t="str">
        <f>"21476-EB300"</f>
        <v>21476-EB300</v>
      </c>
      <c r="B1937" t="str">
        <f>"Кожух вентиляторов о"</f>
        <v>Кожух вентиляторов о</v>
      </c>
      <c r="C1937">
        <v>3</v>
      </c>
      <c r="D1937">
        <v>3968.6159999999995</v>
      </c>
    </row>
    <row r="1938" spans="1:4">
      <c r="A1938" t="str">
        <f>"21476-EB800"</f>
        <v>21476-EB800</v>
      </c>
      <c r="B1938" t="str">
        <f>"Кожух вентиляторов о"</f>
        <v>Кожух вентиляторов о</v>
      </c>
      <c r="C1938">
        <v>1</v>
      </c>
      <c r="D1938">
        <v>3376.2</v>
      </c>
    </row>
    <row r="1939" spans="1:4">
      <c r="A1939" t="str">
        <f>"21476-VB80A"</f>
        <v>21476-VB80A</v>
      </c>
      <c r="B1939" t="str">
        <f>"Кожух вентиляторов о"</f>
        <v>Кожух вентиляторов о</v>
      </c>
      <c r="C1939">
        <v>2</v>
      </c>
      <c r="D1939">
        <v>3469.6320000000001</v>
      </c>
    </row>
    <row r="1940" spans="1:4">
      <c r="A1940" t="str">
        <f>"21477-CG200"</f>
        <v>21477-CG200</v>
      </c>
      <c r="B1940" t="str">
        <f>"SHROUD-RAD,LWR"</f>
        <v>SHROUD-RAD,LWR</v>
      </c>
      <c r="C1940">
        <v>0</v>
      </c>
      <c r="D1940">
        <v>1318.6560000000002</v>
      </c>
    </row>
    <row r="1941" spans="1:4">
      <c r="A1941" t="str">
        <f>"21477-EB300"</f>
        <v>21477-EB300</v>
      </c>
      <c r="B1941" t="str">
        <f>"Кожух вентиляторов о"</f>
        <v>Кожух вентиляторов о</v>
      </c>
      <c r="C1941">
        <v>14</v>
      </c>
      <c r="D1941">
        <v>1792.3439999999998</v>
      </c>
    </row>
    <row r="1942" spans="1:4">
      <c r="A1942" t="str">
        <f>"21477-VB300"</f>
        <v>21477-VB300</v>
      </c>
      <c r="B1942" t="str">
        <f>"SHROUD-RAD,LWR"</f>
        <v>SHROUD-RAD,LWR</v>
      </c>
      <c r="C1942">
        <v>4</v>
      </c>
      <c r="D1942">
        <v>657.69600000000003</v>
      </c>
    </row>
    <row r="1943" spans="1:4">
      <c r="A1943" t="str">
        <f>"21478-VB800"</f>
        <v>21478-VB800</v>
      </c>
      <c r="B1943" t="str">
        <f>"SHROUD FRONT"</f>
        <v>SHROUD FRONT</v>
      </c>
      <c r="C1943">
        <v>3</v>
      </c>
      <c r="D1943">
        <v>3436.1759999999999</v>
      </c>
    </row>
    <row r="1944" spans="1:4">
      <c r="A1944" t="str">
        <f>"21481-18000"</f>
        <v>21481-18000</v>
      </c>
      <c r="B1944" t="str">
        <f>"GASKET CONN"</f>
        <v>GASKET CONN</v>
      </c>
      <c r="C1944">
        <v>0</v>
      </c>
      <c r="D1944">
        <v>24.071999999999999</v>
      </c>
    </row>
    <row r="1945" spans="1:4">
      <c r="A1945" t="str">
        <f>"21481-9Y80A"</f>
        <v>21481-9Y80A</v>
      </c>
      <c r="B1945" t="str">
        <f>"Кожух вентиляторов о"</f>
        <v>Кожух вентиляторов о</v>
      </c>
      <c r="C1945">
        <v>2</v>
      </c>
      <c r="D1945">
        <v>11424</v>
      </c>
    </row>
    <row r="1946" spans="1:4">
      <c r="A1946" t="str">
        <f>"21481-AV700"</f>
        <v>21481-AV700</v>
      </c>
      <c r="B1946" t="str">
        <f>"MOTOR &amp; FAN ASS"</f>
        <v>MOTOR &amp; FAN ASS</v>
      </c>
      <c r="C1946">
        <v>0</v>
      </c>
      <c r="D1946">
        <v>8207.3279999999995</v>
      </c>
    </row>
    <row r="1947" spans="1:4">
      <c r="A1947" t="str">
        <f>"21481-AX610"</f>
        <v>21481-AX610</v>
      </c>
      <c r="B1947" t="str">
        <f>"MOTOR &amp; FAN ASS"</f>
        <v>MOTOR &amp; FAN ASS</v>
      </c>
      <c r="C1947">
        <v>1</v>
      </c>
      <c r="D1947">
        <v>6046.56</v>
      </c>
    </row>
    <row r="1948" spans="1:4">
      <c r="A1948" t="str">
        <f>"21481-AX800"</f>
        <v>21481-AX800</v>
      </c>
      <c r="B1948" t="str">
        <f>"MOTOR &amp; FAN ASS"</f>
        <v>MOTOR &amp; FAN ASS</v>
      </c>
      <c r="C1948">
        <v>0</v>
      </c>
      <c r="D1948">
        <v>5817.2640000000001</v>
      </c>
    </row>
    <row r="1949" spans="1:4">
      <c r="A1949" t="str">
        <f>"21481-BM410"</f>
        <v>21481-BM410</v>
      </c>
      <c r="B1949" t="str">
        <f>"MOTOR &amp; FAN ASS"</f>
        <v>MOTOR &amp; FAN ASS</v>
      </c>
      <c r="C1949">
        <v>14</v>
      </c>
      <c r="D1949">
        <v>8829.5279999999984</v>
      </c>
    </row>
    <row r="1950" spans="1:4">
      <c r="A1950" t="str">
        <f>"21481-BN310"</f>
        <v>21481-BN310</v>
      </c>
      <c r="B1950" t="str">
        <f>"MOTOR &amp; FAN ASS"</f>
        <v>MOTOR &amp; FAN ASS</v>
      </c>
      <c r="C1950">
        <v>0</v>
      </c>
      <c r="D1950">
        <v>9088.6080000000002</v>
      </c>
    </row>
    <row r="1951" spans="1:4">
      <c r="A1951" t="str">
        <f>"21481-CA00B"</f>
        <v>21481-CA00B</v>
      </c>
      <c r="B1951" t="str">
        <f t="shared" ref="B1951:B1957" si="34">"Кожух вентиляторов о"</f>
        <v>Кожух вентиляторов о</v>
      </c>
      <c r="C1951">
        <v>1</v>
      </c>
      <c r="D1951">
        <v>12933.6</v>
      </c>
    </row>
    <row r="1952" spans="1:4">
      <c r="A1952" t="str">
        <f>"21481-EL30A"</f>
        <v>21481-EL30A</v>
      </c>
      <c r="B1952" t="str">
        <f t="shared" si="34"/>
        <v>Кожух вентиляторов о</v>
      </c>
      <c r="C1952">
        <v>1</v>
      </c>
      <c r="D1952">
        <v>7680.1919999999991</v>
      </c>
    </row>
    <row r="1953" spans="1:4">
      <c r="A1953" t="str">
        <f>"21481-EQ30E"</f>
        <v>21481-EQ30E</v>
      </c>
      <c r="B1953" t="str">
        <f t="shared" si="34"/>
        <v>Кожух вентиляторов о</v>
      </c>
      <c r="C1953">
        <v>2</v>
      </c>
      <c r="D1953">
        <v>16472.592000000001</v>
      </c>
    </row>
    <row r="1954" spans="1:4">
      <c r="A1954" t="str">
        <f>"21481-JD200"</f>
        <v>21481-JD200</v>
      </c>
      <c r="B1954" t="str">
        <f t="shared" si="34"/>
        <v>Кожух вентиляторов о</v>
      </c>
      <c r="C1954">
        <v>1</v>
      </c>
      <c r="D1954">
        <v>9714.887999999999</v>
      </c>
    </row>
    <row r="1955" spans="1:4">
      <c r="A1955" t="str">
        <f>"21481-JD21B"</f>
        <v>21481-JD21B</v>
      </c>
      <c r="B1955" t="str">
        <f t="shared" si="34"/>
        <v>Кожух вентиляторов о</v>
      </c>
      <c r="C1955">
        <v>0</v>
      </c>
      <c r="D1955">
        <v>10001.304</v>
      </c>
    </row>
    <row r="1956" spans="1:4">
      <c r="A1956" t="str">
        <f>"21481-JG40B"</f>
        <v>21481-JG40B</v>
      </c>
      <c r="B1956" t="str">
        <f t="shared" si="34"/>
        <v>Кожух вентиляторов о</v>
      </c>
      <c r="C1956">
        <v>1</v>
      </c>
      <c r="D1956">
        <v>16992.791999999998</v>
      </c>
    </row>
    <row r="1957" spans="1:4">
      <c r="A1957" t="str">
        <f>"21483-1AA0A"</f>
        <v>21483-1AA0A</v>
      </c>
      <c r="B1957" t="str">
        <f t="shared" si="34"/>
        <v>Кожух вентиляторов о</v>
      </c>
      <c r="C1957">
        <v>0</v>
      </c>
      <c r="D1957">
        <v>4623.4560000000001</v>
      </c>
    </row>
    <row r="1958" spans="1:4">
      <c r="A1958" t="str">
        <f>"21483-4U103"</f>
        <v>21483-4U103</v>
      </c>
      <c r="B1958" t="str">
        <f>"SHROUD ASSY"</f>
        <v>SHROUD ASSY</v>
      </c>
      <c r="C1958">
        <v>1</v>
      </c>
      <c r="D1958">
        <v>4896</v>
      </c>
    </row>
    <row r="1959" spans="1:4">
      <c r="A1959" t="str">
        <f>"21483-8H310"</f>
        <v>21483-8H310</v>
      </c>
      <c r="B1959" t="str">
        <f>"SHROUD ASSY"</f>
        <v>SHROUD ASSY</v>
      </c>
      <c r="C1959">
        <v>3</v>
      </c>
      <c r="D1959">
        <v>4943.7359999999999</v>
      </c>
    </row>
    <row r="1960" spans="1:4">
      <c r="A1960" t="str">
        <f>"21483-9Y000"</f>
        <v>21483-9Y000</v>
      </c>
      <c r="B1960" t="str">
        <f>"Кожух вентиляторов о"</f>
        <v>Кожух вентиляторов о</v>
      </c>
      <c r="C1960">
        <v>2</v>
      </c>
      <c r="D1960">
        <v>5445.1680000000006</v>
      </c>
    </row>
    <row r="1961" spans="1:4">
      <c r="A1961" t="str">
        <f>"21483-CA000"</f>
        <v>21483-CA000</v>
      </c>
      <c r="B1961" t="str">
        <f>"SHROUD ASSY"</f>
        <v>SHROUD ASSY</v>
      </c>
      <c r="C1961">
        <v>0</v>
      </c>
      <c r="D1961">
        <v>6168.1439999999993</v>
      </c>
    </row>
    <row r="1962" spans="1:4">
      <c r="A1962" t="str">
        <f>"21483-EL30A"</f>
        <v>21483-EL30A</v>
      </c>
      <c r="B1962" t="str">
        <f>"Кожух вентиляторов о"</f>
        <v>Кожух вентиляторов о</v>
      </c>
      <c r="C1962">
        <v>0</v>
      </c>
      <c r="D1962">
        <v>2975.9519999999998</v>
      </c>
    </row>
    <row r="1963" spans="1:4">
      <c r="A1963" t="str">
        <f>"21483-JG30A"</f>
        <v>21483-JG30A</v>
      </c>
      <c r="B1963" t="str">
        <f>"Кожух вентиляторов о"</f>
        <v>Кожух вентиляторов о</v>
      </c>
      <c r="C1963">
        <v>5</v>
      </c>
      <c r="D1963">
        <v>5508.4080000000004</v>
      </c>
    </row>
    <row r="1964" spans="1:4">
      <c r="A1964" t="str">
        <f>"21486-1L000"</f>
        <v>21486-1L000</v>
      </c>
      <c r="B1964" t="str">
        <f>"FAN-COOLING"</f>
        <v>FAN-COOLING</v>
      </c>
      <c r="C1964">
        <v>1</v>
      </c>
      <c r="D1964">
        <v>1197.8879999999999</v>
      </c>
    </row>
    <row r="1965" spans="1:4">
      <c r="A1965" t="str">
        <f>"21486-95F0B"</f>
        <v>21486-95F0B</v>
      </c>
      <c r="B1965" t="str">
        <f>"Вентилятор охлаждени"</f>
        <v>Вентилятор охлаждени</v>
      </c>
      <c r="C1965">
        <v>5</v>
      </c>
      <c r="D1965">
        <v>1142.3999999999999</v>
      </c>
    </row>
    <row r="1966" spans="1:4">
      <c r="A1966" t="str">
        <f>"21486-CA000"</f>
        <v>21486-CA000</v>
      </c>
      <c r="B1966" t="str">
        <f>"FAN-COOLING"</f>
        <v>FAN-COOLING</v>
      </c>
      <c r="C1966">
        <v>0</v>
      </c>
      <c r="D1966">
        <v>1286.8319999999999</v>
      </c>
    </row>
    <row r="1967" spans="1:4">
      <c r="A1967" t="str">
        <f>"21486-CX000"</f>
        <v>21486-CX000</v>
      </c>
      <c r="B1967" t="str">
        <f>"FAN-MOTOR"</f>
        <v>FAN-MOTOR</v>
      </c>
      <c r="C1967">
        <v>0</v>
      </c>
      <c r="D1967">
        <v>1321.5119999999999</v>
      </c>
    </row>
    <row r="1968" spans="1:4">
      <c r="A1968" t="str">
        <f>"21486-EW00B"</f>
        <v>21486-EW00B</v>
      </c>
      <c r="B1968" t="str">
        <f>"Вентилятор охлаждени"</f>
        <v>Вентилятор охлаждени</v>
      </c>
      <c r="C1968">
        <v>0</v>
      </c>
      <c r="D1968">
        <v>1451.664</v>
      </c>
    </row>
    <row r="1969" spans="1:4">
      <c r="A1969" t="str">
        <f>"21486-JG30A"</f>
        <v>21486-JG30A</v>
      </c>
      <c r="B1969" t="str">
        <f>"Вентилятор охлаждени"</f>
        <v>Вентилятор охлаждени</v>
      </c>
      <c r="C1969">
        <v>9</v>
      </c>
      <c r="D1969">
        <v>1202.7840000000001</v>
      </c>
    </row>
    <row r="1970" spans="1:4">
      <c r="A1970" t="str">
        <f>"21486-JG31A"</f>
        <v>21486-JG31A</v>
      </c>
      <c r="B1970" t="str">
        <f>"Вентилятор охлаждени"</f>
        <v>Вентилятор охлаждени</v>
      </c>
      <c r="C1970">
        <v>2</v>
      </c>
      <c r="D1970">
        <v>1226.856</v>
      </c>
    </row>
    <row r="1971" spans="1:4">
      <c r="A1971" t="str">
        <f>"21487-1L000"</f>
        <v>21487-1L000</v>
      </c>
      <c r="B1971" t="str">
        <f>"MOTOR ASSY-FAN"</f>
        <v>MOTOR ASSY-FAN</v>
      </c>
      <c r="C1971">
        <v>1</v>
      </c>
      <c r="D1971">
        <v>6905.4</v>
      </c>
    </row>
    <row r="1972" spans="1:4">
      <c r="A1972" t="str">
        <f>"21487-9E000"</f>
        <v>21487-9E000</v>
      </c>
      <c r="B1972" t="str">
        <f>"MOTOR ASSY-FAN"</f>
        <v>MOTOR ASSY-FAN</v>
      </c>
      <c r="C1972">
        <v>19</v>
      </c>
      <c r="D1972">
        <v>6763.8240000000005</v>
      </c>
    </row>
    <row r="1973" spans="1:4">
      <c r="A1973" t="str">
        <f>"21487-AX00B"</f>
        <v>21487-AX00B</v>
      </c>
      <c r="B1973" t="str">
        <f>"Мотор вентилятора ох"</f>
        <v>Мотор вентилятора ох</v>
      </c>
      <c r="C1973">
        <v>1</v>
      </c>
      <c r="D1973">
        <v>6836.4479999999994</v>
      </c>
    </row>
    <row r="1974" spans="1:4">
      <c r="A1974" t="str">
        <f>"21487-CL80A"</f>
        <v>21487-CL80A</v>
      </c>
      <c r="B1974" t="str">
        <f>"Мотор вентилятора ох"</f>
        <v>Мотор вентилятора ох</v>
      </c>
      <c r="C1974">
        <v>0</v>
      </c>
      <c r="D1974">
        <v>6986.1839999999993</v>
      </c>
    </row>
    <row r="1975" spans="1:4">
      <c r="A1975" t="str">
        <f>"21487-CX000"</f>
        <v>21487-CX000</v>
      </c>
      <c r="B1975" t="str">
        <f>"MOTOR ASSY-FAN"</f>
        <v>MOTOR ASSY-FAN</v>
      </c>
      <c r="C1975">
        <v>0</v>
      </c>
      <c r="D1975">
        <v>6827.0640000000003</v>
      </c>
    </row>
    <row r="1976" spans="1:4">
      <c r="A1976" t="str">
        <f>"21487-JG30A"</f>
        <v>21487-JG30A</v>
      </c>
      <c r="B1976" t="str">
        <f>"Мотор вентилятора ох"</f>
        <v>Мотор вентилятора ох</v>
      </c>
      <c r="C1976">
        <v>1</v>
      </c>
      <c r="D1976">
        <v>6977.2079999999996</v>
      </c>
    </row>
    <row r="1977" spans="1:4">
      <c r="A1977" t="str">
        <f>"21493-EH10A"</f>
        <v>21493-EH10A</v>
      </c>
      <c r="B1977" t="str">
        <f>"Блок управления вент"</f>
        <v>Блок управления вент</v>
      </c>
      <c r="C1977">
        <v>1</v>
      </c>
      <c r="D1977">
        <v>3451.68</v>
      </c>
    </row>
    <row r="1978" spans="1:4">
      <c r="A1978" t="str">
        <f>"21497-JG30A"</f>
        <v>21497-JG30A</v>
      </c>
      <c r="B1978" t="str">
        <f>"Кожух радиатора"</f>
        <v>Кожух радиатора</v>
      </c>
      <c r="C1978">
        <v>0</v>
      </c>
      <c r="D1978">
        <v>556.51199999999994</v>
      </c>
    </row>
    <row r="1979" spans="1:4">
      <c r="A1979" t="str">
        <f>"21497-JG30B"</f>
        <v>21497-JG30B</v>
      </c>
      <c r="B1979" t="str">
        <f>"Кожух радиатора конд"</f>
        <v>Кожух радиатора конд</v>
      </c>
      <c r="C1979">
        <v>14</v>
      </c>
      <c r="D1979">
        <v>547.94399999999996</v>
      </c>
    </row>
    <row r="1980" spans="1:4">
      <c r="A1980" t="str">
        <f>"21501-0M002"</f>
        <v>21501-0M002</v>
      </c>
      <c r="B1980" t="str">
        <f>"HOSE-TOP"</f>
        <v>HOSE-TOP</v>
      </c>
      <c r="C1980">
        <v>12</v>
      </c>
      <c r="D1980">
        <v>765.40800000000002</v>
      </c>
    </row>
    <row r="1981" spans="1:4">
      <c r="A1981" t="str">
        <f>"21501-95F0A"</f>
        <v>21501-95F0A</v>
      </c>
      <c r="B1981" t="str">
        <f>"Патрубок охлаждающей"</f>
        <v>Патрубок охлаждающей</v>
      </c>
      <c r="C1981">
        <v>6</v>
      </c>
      <c r="D1981">
        <v>593.23199999999997</v>
      </c>
    </row>
    <row r="1982" spans="1:4">
      <c r="A1982" t="str">
        <f>"21501-9F200"</f>
        <v>21501-9F200</v>
      </c>
      <c r="B1982" t="str">
        <f>"HOSE-RADIATOR,U"</f>
        <v>HOSE-RADIATOR,U</v>
      </c>
      <c r="C1982">
        <v>8</v>
      </c>
      <c r="D1982">
        <v>537.74400000000003</v>
      </c>
    </row>
    <row r="1983" spans="1:4">
      <c r="A1983" t="str">
        <f>"21501-BM505"</f>
        <v>21501-BM505</v>
      </c>
      <c r="B1983" t="str">
        <f>"HOSE-RADIATOR,U"</f>
        <v>HOSE-RADIATOR,U</v>
      </c>
      <c r="C1983">
        <v>3</v>
      </c>
      <c r="D1983">
        <v>1116.288</v>
      </c>
    </row>
    <row r="1984" spans="1:4">
      <c r="A1984" t="str">
        <f>"21501-EB300"</f>
        <v>21501-EB300</v>
      </c>
      <c r="B1984" t="str">
        <f>"Патрубок охлаждающей"</f>
        <v>Патрубок охлаждающей</v>
      </c>
      <c r="C1984">
        <v>3</v>
      </c>
      <c r="D1984">
        <v>1233.7920000000001</v>
      </c>
    </row>
    <row r="1985" spans="1:4">
      <c r="A1985" t="str">
        <f>"21503-0M011"</f>
        <v>21503-0M011</v>
      </c>
      <c r="B1985" t="str">
        <f>"HOSE-BOTTOM"</f>
        <v>HOSE-BOTTOM</v>
      </c>
      <c r="C1985">
        <v>6</v>
      </c>
      <c r="D1985">
        <v>808.65599999999995</v>
      </c>
    </row>
    <row r="1986" spans="1:4">
      <c r="A1986" t="str">
        <f>"21503-95F0A"</f>
        <v>21503-95F0A</v>
      </c>
      <c r="B1986" t="str">
        <f>"Патрубок охлаждающей"</f>
        <v>Патрубок охлаждающей</v>
      </c>
      <c r="C1986">
        <v>10</v>
      </c>
      <c r="D1986">
        <v>1114.6559999999999</v>
      </c>
    </row>
    <row r="1987" spans="1:4">
      <c r="A1987" t="str">
        <f>"21503-BC01A"</f>
        <v>21503-BC01A</v>
      </c>
      <c r="B1987" t="str">
        <f>"Патрубок охлаждающей"</f>
        <v>Патрубок охлаждающей</v>
      </c>
      <c r="C1987">
        <v>6</v>
      </c>
      <c r="D1987">
        <v>1253.376</v>
      </c>
    </row>
    <row r="1988" spans="1:4">
      <c r="A1988" t="str">
        <f>"21503-BM505"</f>
        <v>21503-BM505</v>
      </c>
      <c r="B1988" t="str">
        <f>"HOSE-RADIATOR,L"</f>
        <v>HOSE-RADIATOR,L</v>
      </c>
      <c r="C1988">
        <v>3</v>
      </c>
      <c r="D1988">
        <v>1458.192</v>
      </c>
    </row>
    <row r="1989" spans="1:4">
      <c r="A1989" t="str">
        <f>"21503-CA000"</f>
        <v>21503-CA000</v>
      </c>
      <c r="B1989" t="str">
        <f>"HOSE-BOTTOM"</f>
        <v>HOSE-BOTTOM</v>
      </c>
      <c r="C1989">
        <v>0</v>
      </c>
      <c r="D1989">
        <v>1062.0239999999999</v>
      </c>
    </row>
    <row r="1990" spans="1:4">
      <c r="A1990" t="str">
        <f>"21503-CG000"</f>
        <v>21503-CG000</v>
      </c>
      <c r="B1990" t="str">
        <f>"HOSE-BOTTOM"</f>
        <v>HOSE-BOTTOM</v>
      </c>
      <c r="C1990">
        <v>5</v>
      </c>
      <c r="D1990">
        <v>1068.9599999999998</v>
      </c>
    </row>
    <row r="1991" spans="1:4">
      <c r="A1991" t="str">
        <f>"21503-EB300"</f>
        <v>21503-EB300</v>
      </c>
      <c r="B1991" t="str">
        <f>"Патрубок охлаждающей"</f>
        <v>Патрубок охлаждающей</v>
      </c>
      <c r="C1991">
        <v>1</v>
      </c>
      <c r="D1991">
        <v>2525.52</v>
      </c>
    </row>
    <row r="1992" spans="1:4">
      <c r="A1992" t="str">
        <f>"21503-JG300"</f>
        <v>21503-JG300</v>
      </c>
      <c r="B1992" t="str">
        <f>"Патрубок охлаждающей"</f>
        <v>Патрубок охлаждающей</v>
      </c>
      <c r="C1992">
        <v>0</v>
      </c>
      <c r="D1992">
        <v>778.87199999999996</v>
      </c>
    </row>
    <row r="1993" spans="1:4">
      <c r="A1993" t="str">
        <f>"21503-JN20B"</f>
        <v>21503-JN20B</v>
      </c>
      <c r="B1993" t="str">
        <f>"Патрубок охлаждающей"</f>
        <v>Патрубок охлаждающей</v>
      </c>
      <c r="C1993">
        <v>0</v>
      </c>
      <c r="D1993">
        <v>2926.9919999999997</v>
      </c>
    </row>
    <row r="1994" spans="1:4">
      <c r="A1994" t="str">
        <f>"21504-JD20B"</f>
        <v>21504-JD20B</v>
      </c>
      <c r="B1994" t="str">
        <f>"Патрубок охлаждающей"</f>
        <v>Патрубок охлаждающей</v>
      </c>
      <c r="C1994">
        <v>2</v>
      </c>
      <c r="D1994">
        <v>984.91199999999992</v>
      </c>
    </row>
    <row r="1995" spans="1:4">
      <c r="A1995" t="str">
        <f>"21506-15S00"</f>
        <v>21506-15S00</v>
      </c>
      <c r="B1995" t="str">
        <f>"RUBBER"</f>
        <v>RUBBER</v>
      </c>
      <c r="C1995">
        <v>37</v>
      </c>
      <c r="D1995">
        <v>112.2</v>
      </c>
    </row>
    <row r="1996" spans="1:4">
      <c r="A1996" t="str">
        <f>"21506-51E00"</f>
        <v>21506-51E00</v>
      </c>
      <c r="B1996" t="str">
        <f>"MOUNTG RUBR-RAD"</f>
        <v>MOUNTG RUBR-RAD</v>
      </c>
      <c r="C1996">
        <v>130</v>
      </c>
      <c r="D1996">
        <v>69.768000000000001</v>
      </c>
    </row>
    <row r="1997" spans="1:4">
      <c r="A1997" t="str">
        <f>"21506-95F0A"</f>
        <v>21506-95F0A</v>
      </c>
      <c r="B1997" t="str">
        <f>"Подушка радиатор"</f>
        <v>Подушка радиатор</v>
      </c>
      <c r="C1997">
        <v>20</v>
      </c>
      <c r="D1997">
        <v>119.544</v>
      </c>
    </row>
    <row r="1998" spans="1:4">
      <c r="A1998" t="str">
        <f>"21506-BM400"</f>
        <v>21506-BM400</v>
      </c>
      <c r="B1998" t="str">
        <f>"MOUNTING RUBBER"</f>
        <v>MOUNTING RUBBER</v>
      </c>
      <c r="C1998">
        <v>39</v>
      </c>
      <c r="D1998">
        <v>163.19999999999999</v>
      </c>
    </row>
    <row r="1999" spans="1:4">
      <c r="A1999" t="str">
        <f>"21506-EB70A"</f>
        <v>21506-EB70A</v>
      </c>
      <c r="B1999" t="str">
        <f>"Подушка радиатор"</f>
        <v>Подушка радиатор</v>
      </c>
      <c r="C1999">
        <v>1</v>
      </c>
      <c r="D1999">
        <v>106.896</v>
      </c>
    </row>
    <row r="2000" spans="1:4">
      <c r="A2000" t="str">
        <f>"21506-JE20A"</f>
        <v>21506-JE20A</v>
      </c>
      <c r="B2000" t="str">
        <f>"Подушка радиатор"</f>
        <v>Подушка радиатор</v>
      </c>
      <c r="C2000">
        <v>1</v>
      </c>
      <c r="D2000">
        <v>153.40799999999999</v>
      </c>
    </row>
    <row r="2001" spans="1:4">
      <c r="A2001" t="str">
        <f>"21507-1AA0A"</f>
        <v>21507-1AA0A</v>
      </c>
      <c r="B2001" t="str">
        <f>"Подушка радиатор"</f>
        <v>Подушка радиатор</v>
      </c>
      <c r="C2001">
        <v>1</v>
      </c>
      <c r="D2001">
        <v>119.136</v>
      </c>
    </row>
    <row r="2002" spans="1:4">
      <c r="A2002" t="str">
        <f>"21507-4U00A"</f>
        <v>21507-4U00A</v>
      </c>
      <c r="B2002" t="str">
        <f>"Подушка радиатор"</f>
        <v>Подушка радиатор</v>
      </c>
      <c r="C2002">
        <v>8</v>
      </c>
      <c r="D2002">
        <v>230.51999999999998</v>
      </c>
    </row>
    <row r="2003" spans="1:4">
      <c r="A2003" t="str">
        <f>"21507-AX300"</f>
        <v>21507-AX300</v>
      </c>
      <c r="B2003" t="str">
        <f>"MOUNTING RUBBER"</f>
        <v>MOUNTING RUBBER</v>
      </c>
      <c r="C2003">
        <v>3</v>
      </c>
      <c r="D2003">
        <v>167.68800000000002</v>
      </c>
    </row>
    <row r="2004" spans="1:4">
      <c r="A2004" t="str">
        <f>"21507-BM400"</f>
        <v>21507-BM400</v>
      </c>
      <c r="B2004" t="str">
        <f>"MOUNTING RUBBER"</f>
        <v>MOUNTING RUBBER</v>
      </c>
      <c r="C2004">
        <v>6</v>
      </c>
      <c r="D2004">
        <v>243.16799999999998</v>
      </c>
    </row>
    <row r="2005" spans="1:4">
      <c r="A2005" t="str">
        <f>"21507-JE20A"</f>
        <v>21507-JE20A</v>
      </c>
      <c r="B2005" t="str">
        <f>"Подушка радиатор"</f>
        <v>Подушка радиатор</v>
      </c>
      <c r="C2005">
        <v>15</v>
      </c>
      <c r="D2005">
        <v>295.392</v>
      </c>
    </row>
    <row r="2006" spans="1:4">
      <c r="A2006" t="str">
        <f>"21508-2TG0A"</f>
        <v>21508-2TG0A</v>
      </c>
      <c r="B2006" t="str">
        <f>"Подушка радиатор"</f>
        <v>Подушка радиатор</v>
      </c>
      <c r="C2006">
        <v>16</v>
      </c>
      <c r="D2006">
        <v>90.576000000000008</v>
      </c>
    </row>
    <row r="2007" spans="1:4">
      <c r="A2007" t="str">
        <f>"21517-JN20A"</f>
        <v>21517-JN20A</v>
      </c>
      <c r="B2007" t="str">
        <f>"Трубка радиатора"</f>
        <v>Трубка радиатора</v>
      </c>
      <c r="C2007">
        <v>0</v>
      </c>
      <c r="D2007">
        <v>978.79199999999992</v>
      </c>
    </row>
    <row r="2008" spans="1:4">
      <c r="A2008" t="str">
        <f>"21521-95F0A"</f>
        <v>21521-95F0A</v>
      </c>
      <c r="B2008" t="str">
        <f>"Кронштейн радиат"</f>
        <v>Кронштейн радиат</v>
      </c>
      <c r="C2008">
        <v>2</v>
      </c>
      <c r="D2008">
        <v>408</v>
      </c>
    </row>
    <row r="2009" spans="1:4">
      <c r="A2009" t="str">
        <f>"21521-95F0B"</f>
        <v>21521-95F0B</v>
      </c>
      <c r="B2009" t="str">
        <f>"Подушка радиатор"</f>
        <v>Подушка радиатор</v>
      </c>
      <c r="C2009">
        <v>3</v>
      </c>
      <c r="D2009">
        <v>505.10399999999998</v>
      </c>
    </row>
    <row r="2010" spans="1:4">
      <c r="A2010" t="str">
        <f>"21537-JP00A"</f>
        <v>21537-JP00A</v>
      </c>
      <c r="B2010" t="str">
        <f>"Кронштейн радиат"</f>
        <v>Кронштейн радиат</v>
      </c>
      <c r="C2010">
        <v>5</v>
      </c>
      <c r="D2010">
        <v>605.47199999999998</v>
      </c>
    </row>
    <row r="2011" spans="1:4">
      <c r="A2011" t="str">
        <f>"21542-AL500"</f>
        <v>21542-AL500</v>
      </c>
      <c r="B2011" t="str">
        <f>"BRKT-RAD MOUNTG"</f>
        <v>BRKT-RAD MOUNTG</v>
      </c>
      <c r="C2011">
        <v>4</v>
      </c>
      <c r="D2011">
        <v>263.16000000000003</v>
      </c>
    </row>
    <row r="2012" spans="1:4">
      <c r="A2012" t="str">
        <f>"21542-CA000"</f>
        <v>21542-CA000</v>
      </c>
      <c r="B2012" t="str">
        <f>"BRKT-RAD MOUNTG"</f>
        <v>BRKT-RAD MOUNTG</v>
      </c>
      <c r="C2012">
        <v>14</v>
      </c>
      <c r="D2012">
        <v>264.79199999999997</v>
      </c>
    </row>
    <row r="2013" spans="1:4">
      <c r="A2013" t="str">
        <f>"21543-4M400"</f>
        <v>21543-4M400</v>
      </c>
      <c r="B2013" t="str">
        <f>"BRKT-RAD MOUNTG"</f>
        <v>BRKT-RAD MOUNTG</v>
      </c>
      <c r="C2013">
        <v>5</v>
      </c>
      <c r="D2013">
        <v>288.86399999999998</v>
      </c>
    </row>
    <row r="2014" spans="1:4">
      <c r="A2014" t="str">
        <f>"21543-4M410"</f>
        <v>21543-4M410</v>
      </c>
      <c r="B2014" t="str">
        <f>"BRKT-RAD MOUNTG"</f>
        <v>BRKT-RAD MOUNTG</v>
      </c>
      <c r="C2014">
        <v>0</v>
      </c>
      <c r="D2014">
        <v>295.8</v>
      </c>
    </row>
    <row r="2015" spans="1:4">
      <c r="A2015" t="str">
        <f>"21543-JG000"</f>
        <v>21543-JG000</v>
      </c>
      <c r="B2015" t="str">
        <f>"Кронштейн радиат"</f>
        <v>Кронштейн радиат</v>
      </c>
      <c r="C2015">
        <v>2</v>
      </c>
      <c r="D2015">
        <v>276.21600000000001</v>
      </c>
    </row>
    <row r="2016" spans="1:4">
      <c r="A2016" t="str">
        <f>"21546-31U1A"</f>
        <v>21546-31U1A</v>
      </c>
      <c r="B2016" t="str">
        <f>"Кронштейн радиат"</f>
        <v>Кронштейн радиат</v>
      </c>
      <c r="C2016">
        <v>7</v>
      </c>
      <c r="D2016">
        <v>131.78399999999999</v>
      </c>
    </row>
    <row r="2017" spans="1:4">
      <c r="A2017" t="str">
        <f>"21590-95F0A"</f>
        <v>21590-95F0A</v>
      </c>
      <c r="B2017" t="str">
        <f>"Мотор с ветилятором "</f>
        <v xml:space="preserve">Мотор с ветилятором </v>
      </c>
      <c r="C2017">
        <v>14</v>
      </c>
      <c r="D2017">
        <v>11832</v>
      </c>
    </row>
    <row r="2018" spans="1:4">
      <c r="A2018" t="str">
        <f>"21606-1AA0A"</f>
        <v>21606-1AA0A</v>
      </c>
      <c r="B2018" t="str">
        <f>"Радиатор АКПП"</f>
        <v>Радиатор АКПП</v>
      </c>
      <c r="C2018">
        <v>0</v>
      </c>
      <c r="D2018">
        <v>1620.576</v>
      </c>
    </row>
    <row r="2019" spans="1:4">
      <c r="A2019" t="str">
        <f>"21606-AV600"</f>
        <v>21606-AV600</v>
      </c>
      <c r="B2019" t="str">
        <f>"COOLER ASSY-OIL"</f>
        <v>COOLER ASSY-OIL</v>
      </c>
      <c r="C2019">
        <v>7</v>
      </c>
      <c r="D2019">
        <v>11361.575999999999</v>
      </c>
    </row>
    <row r="2020" spans="1:4">
      <c r="A2020" t="str">
        <f>"21606-CC00A"</f>
        <v>21606-CC00A</v>
      </c>
      <c r="B2020" t="str">
        <f>"Охладитель масла"</f>
        <v>Охладитель масла</v>
      </c>
      <c r="C2020">
        <v>5</v>
      </c>
      <c r="D2020">
        <v>11594.544</v>
      </c>
    </row>
    <row r="2021" spans="1:4">
      <c r="A2021" t="str">
        <f>"21606-EB405"</f>
        <v>21606-EB405</v>
      </c>
      <c r="B2021" t="str">
        <f>"Охладитель масла"</f>
        <v>Охладитель масла</v>
      </c>
      <c r="C2021">
        <v>7</v>
      </c>
      <c r="D2021">
        <v>12316.704</v>
      </c>
    </row>
    <row r="2022" spans="1:4">
      <c r="A2022" t="str">
        <f>"21606-JD30A"</f>
        <v>21606-JD30A</v>
      </c>
      <c r="B2022" t="str">
        <f>"Охладитель масла"</f>
        <v>Охладитель масла</v>
      </c>
      <c r="C2022">
        <v>14</v>
      </c>
      <c r="D2022">
        <v>11137.583999999999</v>
      </c>
    </row>
    <row r="2023" spans="1:4">
      <c r="A2023" t="str">
        <f>"21606-JG000"</f>
        <v>21606-JG000</v>
      </c>
      <c r="B2023" t="str">
        <f>"Охладитель масла"</f>
        <v>Охладитель масла</v>
      </c>
      <c r="C2023">
        <v>0</v>
      </c>
      <c r="D2023">
        <v>12036.407999999999</v>
      </c>
    </row>
    <row r="2024" spans="1:4">
      <c r="A2024" t="str">
        <f>"21613-JD30A"</f>
        <v>21613-JD30A</v>
      </c>
      <c r="B2024" t="str">
        <f>"Кронштейн охладителя"</f>
        <v>Кронштейн охладителя</v>
      </c>
      <c r="C2024">
        <v>25</v>
      </c>
      <c r="D2024">
        <v>763.36799999999994</v>
      </c>
    </row>
    <row r="2025" spans="1:4">
      <c r="A2025" t="str">
        <f>"21613-JD30B"</f>
        <v>21613-JD30B</v>
      </c>
      <c r="B2025" t="str">
        <f>"Кронштейн масляного "</f>
        <v xml:space="preserve">Кронштейн масляного </v>
      </c>
      <c r="C2025">
        <v>6</v>
      </c>
      <c r="D2025">
        <v>1663.4159999999999</v>
      </c>
    </row>
    <row r="2026" spans="1:4">
      <c r="A2026" t="str">
        <f>"21613-JD30D"</f>
        <v>21613-JD30D</v>
      </c>
      <c r="B2026" t="str">
        <f>"Кронштейн охладителя"</f>
        <v>Кронштейн охладителя</v>
      </c>
      <c r="C2026">
        <v>0</v>
      </c>
      <c r="D2026">
        <v>419.01600000000002</v>
      </c>
    </row>
    <row r="2027" spans="1:4">
      <c r="A2027" t="str">
        <f>"21615-JG02A"</f>
        <v>21615-JG02A</v>
      </c>
      <c r="B2027" t="str">
        <f>"Кронштейн охладителя"</f>
        <v>Кронштейн охладителя</v>
      </c>
      <c r="C2027">
        <v>0</v>
      </c>
      <c r="D2027">
        <v>564.67200000000003</v>
      </c>
    </row>
    <row r="2028" spans="1:4">
      <c r="A2028" t="str">
        <f>"21621-JD30A"</f>
        <v>21621-JD30A</v>
      </c>
      <c r="B2028" t="str">
        <f>"Патрубок радиато"</f>
        <v>Патрубок радиато</v>
      </c>
      <c r="C2028">
        <v>2</v>
      </c>
      <c r="D2028">
        <v>1425.5519999999999</v>
      </c>
    </row>
    <row r="2029" spans="1:4">
      <c r="A2029" t="str">
        <f>"21626-32U00"</f>
        <v>21626-32U00</v>
      </c>
      <c r="B2029" t="str">
        <f>"WASHER SEAL"</f>
        <v>WASHER SEAL</v>
      </c>
      <c r="C2029">
        <v>0</v>
      </c>
      <c r="D2029">
        <v>22.032</v>
      </c>
    </row>
    <row r="2030" spans="1:4">
      <c r="A2030" t="str">
        <f>"21631-AX000"</f>
        <v>21631-AX000</v>
      </c>
      <c r="B2030" t="str">
        <f>"HOSE-FLEXIBLE"</f>
        <v>HOSE-FLEXIBLE</v>
      </c>
      <c r="C2030">
        <v>2</v>
      </c>
      <c r="D2030">
        <v>517.34399999999994</v>
      </c>
    </row>
    <row r="2031" spans="1:4">
      <c r="A2031" t="str">
        <f>"21631-CG010"</f>
        <v>21631-CG010</v>
      </c>
      <c r="B2031" t="str">
        <f>"HOSE-FLEXIBLE"</f>
        <v>HOSE-FLEXIBLE</v>
      </c>
      <c r="C2031">
        <v>2</v>
      </c>
      <c r="D2031">
        <v>1109.76</v>
      </c>
    </row>
    <row r="2032" spans="1:4">
      <c r="A2032" t="str">
        <f>"21632-AX800"</f>
        <v>21632-AX800</v>
      </c>
      <c r="B2032" t="str">
        <f>"HOSE-FLEXIBLE"</f>
        <v>HOSE-FLEXIBLE</v>
      </c>
      <c r="C2032">
        <v>1</v>
      </c>
      <c r="D2032">
        <v>887.80799999999999</v>
      </c>
    </row>
    <row r="2033" spans="1:4">
      <c r="A2033" t="str">
        <f>"21632-CG010"</f>
        <v>21632-CG010</v>
      </c>
      <c r="B2033" t="str">
        <f>"HOSE-FLEXIBLE"</f>
        <v>HOSE-FLEXIBLE</v>
      </c>
      <c r="C2033">
        <v>0</v>
      </c>
      <c r="D2033">
        <v>551.61599999999999</v>
      </c>
    </row>
    <row r="2034" spans="1:4">
      <c r="A2034" t="str">
        <f>"21632-ZR00A"</f>
        <v>21632-ZR00A</v>
      </c>
      <c r="B2034" t="str">
        <f>"Шланг охлаждения мас"</f>
        <v>Шланг охлаждения мас</v>
      </c>
      <c r="C2034">
        <v>10</v>
      </c>
      <c r="D2034">
        <v>394.12799999999999</v>
      </c>
    </row>
    <row r="2035" spans="1:4">
      <c r="A2035" t="str">
        <f>"21633-AV600"</f>
        <v>21633-AV600</v>
      </c>
      <c r="B2035" t="str">
        <f>"HOSE-OIL COOLER"</f>
        <v>HOSE-OIL COOLER</v>
      </c>
      <c r="C2035">
        <v>8</v>
      </c>
      <c r="D2035">
        <v>325.99200000000002</v>
      </c>
    </row>
    <row r="2036" spans="1:4">
      <c r="A2036" t="str">
        <f>"21633-JD30A"</f>
        <v>21633-JD30A</v>
      </c>
      <c r="B2036" t="str">
        <f>"Патрубок радиато"</f>
        <v>Патрубок радиато</v>
      </c>
      <c r="C2036">
        <v>10</v>
      </c>
      <c r="D2036">
        <v>334.96799999999996</v>
      </c>
    </row>
    <row r="2037" spans="1:4">
      <c r="A2037" t="str">
        <f>"21633-ZQ00A"</f>
        <v>21633-ZQ00A</v>
      </c>
      <c r="B2037" t="str">
        <f>"Шланг охлаждения мас"</f>
        <v>Шланг охлаждения мас</v>
      </c>
      <c r="C2037">
        <v>5</v>
      </c>
      <c r="D2037">
        <v>1600.5839999999998</v>
      </c>
    </row>
    <row r="2038" spans="1:4">
      <c r="A2038" t="str">
        <f>"21634-AV600"</f>
        <v>21634-AV600</v>
      </c>
      <c r="B2038" t="str">
        <f>"HOSE-OIL COOLER"</f>
        <v>HOSE-OIL COOLER</v>
      </c>
      <c r="C2038">
        <v>7</v>
      </c>
      <c r="D2038">
        <v>684.62399999999991</v>
      </c>
    </row>
    <row r="2039" spans="1:4">
      <c r="A2039" t="str">
        <f>"21634-JD30A"</f>
        <v>21634-JD30A</v>
      </c>
      <c r="B2039" t="str">
        <f>"Шланг охлаждения мас"</f>
        <v>Шланг охлаждения мас</v>
      </c>
      <c r="C2039">
        <v>36</v>
      </c>
      <c r="D2039">
        <v>948.19199999999989</v>
      </c>
    </row>
    <row r="2040" spans="1:4">
      <c r="A2040" t="str">
        <f>"21644-6P000"</f>
        <v>21644-6P000</v>
      </c>
      <c r="B2040" t="str">
        <f>"Кронштейн трубки"</f>
        <v>Кронштейн трубки</v>
      </c>
      <c r="C2040">
        <v>1</v>
      </c>
      <c r="D2040">
        <v>352.10399999999998</v>
      </c>
    </row>
    <row r="2041" spans="1:4">
      <c r="A2041" t="str">
        <f>"21647-6P100"</f>
        <v>21647-6P100</v>
      </c>
      <c r="B2041" t="str">
        <f>"Хомут трубки"</f>
        <v>Хомут трубки</v>
      </c>
      <c r="C2041">
        <v>1</v>
      </c>
      <c r="D2041">
        <v>246.43200000000002</v>
      </c>
    </row>
    <row r="2042" spans="1:4">
      <c r="A2042" t="str">
        <f>"21647-VB000"</f>
        <v>21647-VB000</v>
      </c>
      <c r="B2042" t="str">
        <f>"CLIP"</f>
        <v>CLIP</v>
      </c>
      <c r="C2042">
        <v>8</v>
      </c>
      <c r="D2042">
        <v>20.808</v>
      </c>
    </row>
    <row r="2043" spans="1:4">
      <c r="A2043" t="str">
        <f>"21710-2Y00A"</f>
        <v>21710-2Y00A</v>
      </c>
      <c r="B2043" t="str">
        <f>"Расширительный бачок"</f>
        <v>Расширительный бачок</v>
      </c>
      <c r="C2043">
        <v>1</v>
      </c>
      <c r="D2043">
        <v>2354.5680000000002</v>
      </c>
    </row>
    <row r="2044" spans="1:4">
      <c r="A2044" t="str">
        <f>"21710-4U000"</f>
        <v>21710-4U000</v>
      </c>
      <c r="B2044" t="str">
        <f>"Расширительный бачок"</f>
        <v>Расширительный бачок</v>
      </c>
      <c r="C2044">
        <v>22</v>
      </c>
      <c r="D2044">
        <v>1707.8879999999999</v>
      </c>
    </row>
    <row r="2045" spans="1:4">
      <c r="A2045" t="str">
        <f>"21710-95F0A"</f>
        <v>21710-95F0A</v>
      </c>
      <c r="B2045" t="str">
        <f>"Расширительный бачок"</f>
        <v>Расширительный бачок</v>
      </c>
      <c r="C2045">
        <v>7</v>
      </c>
      <c r="D2045">
        <v>1505.9280000000001</v>
      </c>
    </row>
    <row r="2046" spans="1:4">
      <c r="A2046" t="str">
        <f>"21710-9F000"</f>
        <v>21710-9F000</v>
      </c>
      <c r="B2046" t="str">
        <f>"TANK ASSY-RESER"</f>
        <v>TANK ASSY-RESER</v>
      </c>
      <c r="C2046">
        <v>1</v>
      </c>
      <c r="D2046">
        <v>1944.12</v>
      </c>
    </row>
    <row r="2047" spans="1:4">
      <c r="A2047" t="str">
        <f>"21710-AX800"</f>
        <v>21710-AX800</v>
      </c>
      <c r="B2047" t="str">
        <f>"TANK ASSY-RESER"</f>
        <v>TANK ASSY-RESER</v>
      </c>
      <c r="C2047">
        <v>19</v>
      </c>
      <c r="D2047">
        <v>1940.4479999999999</v>
      </c>
    </row>
    <row r="2048" spans="1:4">
      <c r="A2048" t="str">
        <f>"21710-CG000"</f>
        <v>21710-CG000</v>
      </c>
      <c r="B2048" t="str">
        <f>"Расширительный бачок"</f>
        <v>Расширительный бачок</v>
      </c>
      <c r="C2048">
        <v>6</v>
      </c>
      <c r="D2048">
        <v>3292.56</v>
      </c>
    </row>
    <row r="2049" spans="1:4">
      <c r="A2049" t="str">
        <f>"21710-EC01A"</f>
        <v>21710-EC01A</v>
      </c>
      <c r="B2049" t="str">
        <f>"Расширительный бачок"</f>
        <v>Расширительный бачок</v>
      </c>
      <c r="C2049">
        <v>16</v>
      </c>
      <c r="D2049">
        <v>3022.4639999999995</v>
      </c>
    </row>
    <row r="2050" spans="1:4">
      <c r="A2050" t="str">
        <f>"21710-ED000"</f>
        <v>21710-ED000</v>
      </c>
      <c r="B2050" t="str">
        <f>"Расширительный бачок"</f>
        <v>Расширительный бачок</v>
      </c>
      <c r="C2050">
        <v>2</v>
      </c>
      <c r="D2050">
        <v>1469.2079999999999</v>
      </c>
    </row>
    <row r="2051" spans="1:4">
      <c r="A2051" t="str">
        <f>"21710-EG00A"</f>
        <v>21710-EG00A</v>
      </c>
      <c r="B2051" t="str">
        <f>"Расширительный бачок"</f>
        <v>Расширительный бачок</v>
      </c>
      <c r="C2051">
        <v>3</v>
      </c>
      <c r="D2051">
        <v>4381.5119999999997</v>
      </c>
    </row>
    <row r="2052" spans="1:4">
      <c r="A2052" t="str">
        <f>"21710-JN00A"</f>
        <v>21710-JN00A</v>
      </c>
      <c r="B2052" t="str">
        <f>"Расширительный бачок"</f>
        <v>Расширительный бачок</v>
      </c>
      <c r="C2052">
        <v>3</v>
      </c>
      <c r="D2052">
        <v>2634.8639999999996</v>
      </c>
    </row>
    <row r="2053" spans="1:4">
      <c r="A2053" t="str">
        <f>"21710-VB300"</f>
        <v>21710-VB300</v>
      </c>
      <c r="B2053" t="str">
        <f>"TANK ASSY-RESER"</f>
        <v>TANK ASSY-RESER</v>
      </c>
      <c r="C2053">
        <v>3</v>
      </c>
      <c r="D2053">
        <v>2626.7040000000002</v>
      </c>
    </row>
    <row r="2054" spans="1:4">
      <c r="A2054" t="str">
        <f>"21710-VB80A"</f>
        <v>21710-VB80A</v>
      </c>
      <c r="B2054" t="str">
        <f>"Расширительный бачок"</f>
        <v>Расширительный бачок</v>
      </c>
      <c r="C2054">
        <v>1</v>
      </c>
      <c r="D2054">
        <v>2857.2239999999997</v>
      </c>
    </row>
    <row r="2055" spans="1:4">
      <c r="A2055" t="str">
        <f>"21711-4U00A"</f>
        <v>21711-4U00A</v>
      </c>
      <c r="B2055" t="str">
        <f>"Расширительный бачок"</f>
        <v>Расширительный бачок</v>
      </c>
      <c r="C2055">
        <v>12</v>
      </c>
      <c r="D2055">
        <v>1752.36</v>
      </c>
    </row>
    <row r="2056" spans="1:4">
      <c r="A2056" t="str">
        <f>"21711-AX600"</f>
        <v>21711-AX600</v>
      </c>
      <c r="B2056" t="str">
        <f>"Расширительный бачок"</f>
        <v>Расширительный бачок</v>
      </c>
      <c r="C2056">
        <v>0</v>
      </c>
      <c r="D2056">
        <v>2172.6</v>
      </c>
    </row>
    <row r="2057" spans="1:4">
      <c r="A2057" t="str">
        <f>"21711-JG000"</f>
        <v>21711-JG000</v>
      </c>
      <c r="B2057" t="str">
        <f>"Расширительный бачок"</f>
        <v>Расширительный бачок</v>
      </c>
      <c r="C2057">
        <v>4</v>
      </c>
      <c r="D2057">
        <v>2491.248</v>
      </c>
    </row>
    <row r="2058" spans="1:4">
      <c r="A2058" t="str">
        <f>"21711-VB800"</f>
        <v>21711-VB800</v>
      </c>
      <c r="B2058" t="str">
        <f>"TANK ASSY-RESER"</f>
        <v>TANK ASSY-RESER</v>
      </c>
      <c r="C2058">
        <v>7</v>
      </c>
      <c r="D2058">
        <v>1686.6719999999998</v>
      </c>
    </row>
    <row r="2059" spans="1:4">
      <c r="A2059" t="str">
        <f>"21712-50MB1"</f>
        <v>21712-50MB1</v>
      </c>
      <c r="B2059" t="str">
        <f>"Крышка расширительно"</f>
        <v>Крышка расширительно</v>
      </c>
      <c r="C2059">
        <v>0</v>
      </c>
      <c r="D2059">
        <v>84.048000000000002</v>
      </c>
    </row>
    <row r="2060" spans="1:4">
      <c r="A2060" t="str">
        <f>"21712-79900"</f>
        <v>21712-79900</v>
      </c>
      <c r="B2060" t="str">
        <f>"Крышка расширительно"</f>
        <v>Крышка расширительно</v>
      </c>
      <c r="C2060">
        <v>34</v>
      </c>
      <c r="D2060">
        <v>232.56</v>
      </c>
    </row>
    <row r="2061" spans="1:4">
      <c r="A2061" t="str">
        <f>"21712-90J00"</f>
        <v>21712-90J00</v>
      </c>
      <c r="B2061" t="str">
        <f>"CAP TANK RESERV"</f>
        <v>CAP TANK RESERV</v>
      </c>
      <c r="C2061">
        <v>32</v>
      </c>
      <c r="D2061">
        <v>192.16799999999998</v>
      </c>
    </row>
    <row r="2062" spans="1:4">
      <c r="A2062" t="str">
        <f>"21721-JD00B"</f>
        <v>21721-JD00B</v>
      </c>
      <c r="B2062" t="str">
        <f>"Расширительный бачок"</f>
        <v>Расширительный бачок</v>
      </c>
      <c r="C2062">
        <v>0</v>
      </c>
      <c r="D2062">
        <v>1930.2479999999998</v>
      </c>
    </row>
    <row r="2063" spans="1:4">
      <c r="A2063" t="str">
        <f>"21723-9FD0A"</f>
        <v>21723-9FD0A</v>
      </c>
      <c r="B2063" t="str">
        <f>"Крышка расширительно"</f>
        <v>Крышка расширительно</v>
      </c>
      <c r="C2063">
        <v>0</v>
      </c>
      <c r="D2063">
        <v>176.256</v>
      </c>
    </row>
    <row r="2064" spans="1:4">
      <c r="A2064" t="str">
        <f>"21723-BM400"</f>
        <v>21723-BM400</v>
      </c>
      <c r="B2064" t="str">
        <f>"CAP-RESERVOIR T"</f>
        <v>CAP-RESERVOIR T</v>
      </c>
      <c r="C2064">
        <v>1</v>
      </c>
      <c r="D2064">
        <v>196.65599999999998</v>
      </c>
    </row>
    <row r="2065" spans="1:4">
      <c r="A2065" t="str">
        <f>"21723-BM410"</f>
        <v>21723-BM410</v>
      </c>
      <c r="B2065" t="str">
        <f>"CAP-RESERVOIR T"</f>
        <v>CAP-RESERVOIR T</v>
      </c>
      <c r="C2065">
        <v>0</v>
      </c>
      <c r="D2065">
        <v>208.89600000000002</v>
      </c>
    </row>
    <row r="2066" spans="1:4">
      <c r="A2066" t="str">
        <f>"21741-JG00A"</f>
        <v>21741-JG00A</v>
      </c>
      <c r="B2066" t="str">
        <f>"HOSE-RESERVE TA"</f>
        <v>HOSE-RESERVE TA</v>
      </c>
      <c r="C2066">
        <v>0</v>
      </c>
      <c r="D2066">
        <v>430.03199999999998</v>
      </c>
    </row>
    <row r="2067" spans="1:4">
      <c r="A2067" t="str">
        <f>"21745-50Y00"</f>
        <v>21745-50Y00</v>
      </c>
      <c r="B2067" t="str">
        <f>"BRKT RES LWR"</f>
        <v>BRKT RES LWR</v>
      </c>
      <c r="C2067">
        <v>3</v>
      </c>
      <c r="D2067">
        <v>496.53599999999994</v>
      </c>
    </row>
    <row r="2068" spans="1:4">
      <c r="A2068" t="str">
        <f>"22060-2A000"</f>
        <v>22060-2A000</v>
      </c>
      <c r="B2068" t="str">
        <f>"Датчик детонации дви"</f>
        <v>Датчик детонации дви</v>
      </c>
      <c r="C2068">
        <v>4</v>
      </c>
      <c r="D2068">
        <v>925.34399999999994</v>
      </c>
    </row>
    <row r="2069" spans="1:4">
      <c r="A2069" t="str">
        <f>"22060-2Y000"</f>
        <v>22060-2Y000</v>
      </c>
      <c r="B2069" t="str">
        <f>"KNOCK SENSOR"</f>
        <v>KNOCK SENSOR</v>
      </c>
      <c r="C2069">
        <v>2</v>
      </c>
      <c r="D2069">
        <v>965.32799999999997</v>
      </c>
    </row>
    <row r="2070" spans="1:4">
      <c r="A2070" t="str">
        <f>"22060-30P00"</f>
        <v>22060-30P00</v>
      </c>
      <c r="B2070" t="str">
        <f>"SENSOR KNOCK"</f>
        <v>SENSOR KNOCK</v>
      </c>
      <c r="C2070">
        <v>5</v>
      </c>
      <c r="D2070">
        <v>5860.1040000000003</v>
      </c>
    </row>
    <row r="2071" spans="1:4">
      <c r="A2071" t="str">
        <f>"22060-4M50A"</f>
        <v>22060-4M50A</v>
      </c>
      <c r="B2071" t="str">
        <f>"Датчик детонации дви"</f>
        <v>Датчик детонации дви</v>
      </c>
      <c r="C2071">
        <v>1</v>
      </c>
      <c r="D2071">
        <v>5712</v>
      </c>
    </row>
    <row r="2072" spans="1:4">
      <c r="A2072" t="str">
        <f>"22060-7B000"</f>
        <v>22060-7B000</v>
      </c>
      <c r="B2072" t="str">
        <f>"SENSOR ASSY"</f>
        <v>SENSOR ASSY</v>
      </c>
      <c r="C2072">
        <v>0</v>
      </c>
      <c r="D2072">
        <v>4891.5119999999997</v>
      </c>
    </row>
    <row r="2073" spans="1:4">
      <c r="A2073" t="str">
        <f>"22100-1N002"</f>
        <v>22100-1N002</v>
      </c>
      <c r="B2073" t="str">
        <f>"DISTRIBUTOR"</f>
        <v>DISTRIBUTOR</v>
      </c>
      <c r="C2073">
        <v>6</v>
      </c>
      <c r="D2073">
        <v>18886.32</v>
      </c>
    </row>
    <row r="2074" spans="1:4">
      <c r="A2074" t="str">
        <f>"22100-1S80A"</f>
        <v>22100-1S80A</v>
      </c>
      <c r="B2074" t="str">
        <f>"Распределитель зажиг"</f>
        <v>Распределитель зажиг</v>
      </c>
      <c r="C2074">
        <v>1</v>
      </c>
      <c r="D2074">
        <v>15300</v>
      </c>
    </row>
    <row r="2075" spans="1:4">
      <c r="A2075" t="str">
        <f>"22100-1W60B"</f>
        <v>22100-1W60B</v>
      </c>
      <c r="B2075" t="str">
        <f>"Распределитель зажиг"</f>
        <v>Распределитель зажиг</v>
      </c>
      <c r="C2075">
        <v>2</v>
      </c>
      <c r="D2075">
        <v>25016.111999999997</v>
      </c>
    </row>
    <row r="2076" spans="1:4">
      <c r="A2076" t="str">
        <f>"22100-2N300"</f>
        <v>22100-2N300</v>
      </c>
      <c r="B2076" t="str">
        <f>"DISTRIBUTOR ASS"</f>
        <v>DISTRIBUTOR ASS</v>
      </c>
      <c r="C2076">
        <v>9</v>
      </c>
      <c r="D2076">
        <v>17516.663999999997</v>
      </c>
    </row>
    <row r="2077" spans="1:4">
      <c r="A2077" t="str">
        <f>"22100-7J506"</f>
        <v>22100-7J506</v>
      </c>
      <c r="B2077" t="str">
        <f>"DISTRIBUTOR ASS"</f>
        <v>DISTRIBUTOR ASS</v>
      </c>
      <c r="C2077">
        <v>1</v>
      </c>
      <c r="D2077">
        <v>21741.096000000001</v>
      </c>
    </row>
    <row r="2078" spans="1:4">
      <c r="A2078" t="str">
        <f>"22100-82J0A"</f>
        <v>22100-82J0A</v>
      </c>
      <c r="B2078" t="str">
        <f>"Распределитель зажиг"</f>
        <v>Распределитель зажиг</v>
      </c>
      <c r="C2078">
        <v>9</v>
      </c>
      <c r="D2078">
        <v>24563.232</v>
      </c>
    </row>
    <row r="2079" spans="1:4">
      <c r="A2079" t="str">
        <f>"22100-99B0A"</f>
        <v>22100-99B0A</v>
      </c>
      <c r="B2079" t="str">
        <f>"Распределитель зажиг"</f>
        <v>Распределитель зажиг</v>
      </c>
      <c r="C2079">
        <v>3</v>
      </c>
      <c r="D2079">
        <v>13887.912</v>
      </c>
    </row>
    <row r="2080" spans="1:4">
      <c r="A2080" t="str">
        <f>"22131-38U12"</f>
        <v>22131-38U12</v>
      </c>
      <c r="B2080" t="str">
        <f>"O-RING"</f>
        <v>O-RING</v>
      </c>
      <c r="C2080">
        <v>0</v>
      </c>
      <c r="D2080">
        <v>92.207999999999998</v>
      </c>
    </row>
    <row r="2081" spans="1:4">
      <c r="A2081" t="str">
        <f>"22131-4M505"</f>
        <v>22131-4M505</v>
      </c>
      <c r="B2081" t="str">
        <f>"Уплотнительное кольц"</f>
        <v>Уплотнительное кольц</v>
      </c>
      <c r="C2081">
        <v>68</v>
      </c>
      <c r="D2081">
        <v>118.32</v>
      </c>
    </row>
    <row r="2082" spans="1:4">
      <c r="A2082" t="str">
        <f>"22131-53J10"</f>
        <v>22131-53J10</v>
      </c>
      <c r="B2082" t="str">
        <f>"RING-O"</f>
        <v>RING-O</v>
      </c>
      <c r="C2082">
        <v>0</v>
      </c>
      <c r="D2082">
        <v>114.24</v>
      </c>
    </row>
    <row r="2083" spans="1:4">
      <c r="A2083" t="str">
        <f>"22131-70J00"</f>
        <v>22131-70J00</v>
      </c>
      <c r="B2083" t="str">
        <f>"SEAL-O RING"</f>
        <v>SEAL-O RING</v>
      </c>
      <c r="C2083">
        <v>1</v>
      </c>
      <c r="D2083">
        <v>137.49599999999998</v>
      </c>
    </row>
    <row r="2084" spans="1:4">
      <c r="A2084" t="str">
        <f>"22131-78A00"</f>
        <v>22131-78A00</v>
      </c>
      <c r="B2084" t="str">
        <f>"O-RING"</f>
        <v>O-RING</v>
      </c>
      <c r="C2084">
        <v>35</v>
      </c>
      <c r="D2084">
        <v>119.544</v>
      </c>
    </row>
    <row r="2085" spans="1:4">
      <c r="A2085" t="str">
        <f>"22145-89901"</f>
        <v>22145-89901</v>
      </c>
      <c r="B2085" t="str">
        <f>"CONTAC SET"</f>
        <v>CONTAC SET</v>
      </c>
      <c r="C2085">
        <v>22</v>
      </c>
      <c r="D2085">
        <v>130.15199999999999</v>
      </c>
    </row>
    <row r="2086" spans="1:4">
      <c r="A2086" t="str">
        <f>"22157-0M512"</f>
        <v>22157-0M512</v>
      </c>
      <c r="B2086" t="str">
        <f>"ROTOR HEAD"</f>
        <v>ROTOR HEAD</v>
      </c>
      <c r="C2086">
        <v>8</v>
      </c>
      <c r="D2086">
        <v>415.75199999999995</v>
      </c>
    </row>
    <row r="2087" spans="1:4">
      <c r="A2087" t="str">
        <f>"22157-1W600"</f>
        <v>22157-1W600</v>
      </c>
      <c r="B2087" t="str">
        <f>"ROTOR HEAD"</f>
        <v>ROTOR HEAD</v>
      </c>
      <c r="C2087">
        <v>13</v>
      </c>
      <c r="D2087">
        <v>333.33599999999996</v>
      </c>
    </row>
    <row r="2088" spans="1:4">
      <c r="A2088" t="str">
        <f>"22157-20RX0"</f>
        <v>22157-20RX0</v>
      </c>
      <c r="B2088" t="str">
        <f>"ROTOR-HEAD"</f>
        <v>ROTOR-HEAD</v>
      </c>
      <c r="C2088">
        <v>3</v>
      </c>
      <c r="D2088">
        <v>415.34399999999999</v>
      </c>
    </row>
    <row r="2089" spans="1:4">
      <c r="A2089" t="str">
        <f>"22157-21EX1"</f>
        <v>22157-21EX1</v>
      </c>
      <c r="B2089" t="str">
        <f>"Ротор распределителя"</f>
        <v>Ротор распределителя</v>
      </c>
      <c r="C2089">
        <v>3</v>
      </c>
      <c r="D2089">
        <v>205.63200000000001</v>
      </c>
    </row>
    <row r="2090" spans="1:4">
      <c r="A2090" t="str">
        <f>"22157-23GX5"</f>
        <v>22157-23GX5</v>
      </c>
      <c r="B2090" t="str">
        <f>"Ротор распределителя"</f>
        <v>Ротор распределителя</v>
      </c>
      <c r="C2090">
        <v>4</v>
      </c>
      <c r="D2090">
        <v>200.328</v>
      </c>
    </row>
    <row r="2091" spans="1:4">
      <c r="A2091" t="str">
        <f>"22157-4B000"</f>
        <v>22157-4B000</v>
      </c>
      <c r="B2091" t="str">
        <f>"ROTOR HEAD"</f>
        <v>ROTOR HEAD</v>
      </c>
      <c r="C2091">
        <v>9</v>
      </c>
      <c r="D2091">
        <v>328.03199999999998</v>
      </c>
    </row>
    <row r="2092" spans="1:4">
      <c r="A2092" t="str">
        <f>"22157-53FX1"</f>
        <v>22157-53FX1</v>
      </c>
      <c r="B2092" t="str">
        <f>"Ротор распределителя"</f>
        <v>Ротор распределителя</v>
      </c>
      <c r="C2092">
        <v>1</v>
      </c>
      <c r="D2092">
        <v>197.47200000000001</v>
      </c>
    </row>
    <row r="2093" spans="1:4">
      <c r="A2093" t="str">
        <f>"22157-72B00"</f>
        <v>22157-72B00</v>
      </c>
      <c r="B2093" t="str">
        <f>"ROTOR HEAD"</f>
        <v>ROTOR HEAD</v>
      </c>
      <c r="C2093">
        <v>8</v>
      </c>
      <c r="D2093">
        <v>373.72800000000001</v>
      </c>
    </row>
    <row r="2094" spans="1:4">
      <c r="A2094" t="str">
        <f>"22157-73C00"</f>
        <v>22157-73C00</v>
      </c>
      <c r="B2094" t="str">
        <f>"ROTOR HEAD"</f>
        <v>ROTOR HEAD</v>
      </c>
      <c r="C2094">
        <v>3</v>
      </c>
      <c r="D2094">
        <v>319.464</v>
      </c>
    </row>
    <row r="2095" spans="1:4">
      <c r="A2095" t="str">
        <f>"22157-85EX1"</f>
        <v>22157-85EX1</v>
      </c>
      <c r="B2095" t="str">
        <f>"ROTOR-HEAD"</f>
        <v>ROTOR-HEAD</v>
      </c>
      <c r="C2095">
        <v>0</v>
      </c>
      <c r="D2095">
        <v>201.55199999999999</v>
      </c>
    </row>
    <row r="2096" spans="1:4">
      <c r="A2096" t="str">
        <f>"22157-99B03"</f>
        <v>22157-99B03</v>
      </c>
      <c r="B2096" t="str">
        <f>"ROTOR-HEAD"</f>
        <v>ROTOR-HEAD</v>
      </c>
      <c r="C2096">
        <v>2</v>
      </c>
      <c r="D2096">
        <v>596.08799999999997</v>
      </c>
    </row>
    <row r="2097" spans="1:4">
      <c r="A2097" t="str">
        <f>"22157-VB010"</f>
        <v>22157-VB010</v>
      </c>
      <c r="B2097" t="str">
        <f>"ROTOR HEAD"</f>
        <v>ROTOR HEAD</v>
      </c>
      <c r="C2097">
        <v>4</v>
      </c>
      <c r="D2097">
        <v>774.38400000000001</v>
      </c>
    </row>
    <row r="2098" spans="1:4">
      <c r="A2098" t="str">
        <f>"22162-0C810"</f>
        <v>22162-0C810</v>
      </c>
      <c r="B2098" t="str">
        <f>"CAP ASSY-DISTRI"</f>
        <v>CAP ASSY-DISTRI</v>
      </c>
      <c r="C2098">
        <v>7</v>
      </c>
      <c r="D2098">
        <v>1344.36</v>
      </c>
    </row>
    <row r="2099" spans="1:4">
      <c r="A2099" t="str">
        <f>"22162-0M3X0"</f>
        <v>22162-0M3X0</v>
      </c>
      <c r="B2099" t="str">
        <f>"CAP ASSY-DISTRI"</f>
        <v>CAP ASSY-DISTRI</v>
      </c>
      <c r="C2099">
        <v>10</v>
      </c>
      <c r="D2099">
        <v>707.88</v>
      </c>
    </row>
    <row r="2100" spans="1:4">
      <c r="A2100" t="str">
        <f>"22162-0W0X0"</f>
        <v>22162-0W0X0</v>
      </c>
      <c r="B2100" t="str">
        <f>"Крышка распределител"</f>
        <v>Крышка распределител</v>
      </c>
      <c r="C2100">
        <v>5</v>
      </c>
      <c r="D2100">
        <v>854.35199999999998</v>
      </c>
    </row>
    <row r="2101" spans="1:4">
      <c r="A2101" t="str">
        <f>"22162-18FX1"</f>
        <v>22162-18FX1</v>
      </c>
      <c r="B2101" t="str">
        <f>"CAP ASSY-DISTRI"</f>
        <v>CAP ASSY-DISTRI</v>
      </c>
      <c r="C2101">
        <v>3</v>
      </c>
      <c r="D2101">
        <v>1070.184</v>
      </c>
    </row>
    <row r="2102" spans="1:4">
      <c r="A2102" t="str">
        <f>"22162-2J211"</f>
        <v>22162-2J211</v>
      </c>
      <c r="B2102" t="str">
        <f>"CAP DISTRIBUTOR"</f>
        <v>CAP DISTRIBUTOR</v>
      </c>
      <c r="C2102">
        <v>2</v>
      </c>
      <c r="D2102">
        <v>1359.4560000000001</v>
      </c>
    </row>
    <row r="2103" spans="1:4">
      <c r="A2103" t="str">
        <f>"22162-2J911"</f>
        <v>22162-2J911</v>
      </c>
      <c r="B2103" t="str">
        <f>"CAP ASSY-DISTRI"</f>
        <v>CAP ASSY-DISTRI</v>
      </c>
      <c r="C2103">
        <v>4</v>
      </c>
      <c r="D2103">
        <v>1203.5999999999999</v>
      </c>
    </row>
    <row r="2104" spans="1:4">
      <c r="A2104" t="str">
        <f>"22162-40FX0"</f>
        <v>22162-40FX0</v>
      </c>
      <c r="B2104" t="str">
        <f>"Крышка распределител"</f>
        <v>Крышка распределител</v>
      </c>
      <c r="C2104">
        <v>3</v>
      </c>
      <c r="D2104">
        <v>599.35199999999998</v>
      </c>
    </row>
    <row r="2105" spans="1:4">
      <c r="A2105" t="str">
        <f>"22162-50Y00"</f>
        <v>22162-50Y00</v>
      </c>
      <c r="B2105" t="str">
        <f>"Крышка распределител"</f>
        <v>Крышка распределител</v>
      </c>
      <c r="C2105">
        <v>2</v>
      </c>
      <c r="D2105">
        <v>1158.72</v>
      </c>
    </row>
    <row r="2106" spans="1:4">
      <c r="A2106" t="str">
        <f>"22162-53JX0"</f>
        <v>22162-53JX0</v>
      </c>
      <c r="B2106" t="str">
        <f>"Крышка распределител"</f>
        <v>Крышка распределител</v>
      </c>
      <c r="C2106">
        <v>4</v>
      </c>
      <c r="D2106">
        <v>589.96799999999996</v>
      </c>
    </row>
    <row r="2107" spans="1:4">
      <c r="A2107" t="str">
        <f>"22162-78AX0"</f>
        <v>22162-78AX0</v>
      </c>
      <c r="B2107" t="str">
        <f>"Крышка распределител"</f>
        <v>Крышка распределител</v>
      </c>
      <c r="C2107">
        <v>1</v>
      </c>
      <c r="D2107">
        <v>849.45600000000002</v>
      </c>
    </row>
    <row r="2108" spans="1:4">
      <c r="A2108" t="str">
        <f>"22162-78C00"</f>
        <v>22162-78C00</v>
      </c>
      <c r="B2108" t="str">
        <f>"CAP ASSY-DISTRI"</f>
        <v>CAP ASSY-DISTRI</v>
      </c>
      <c r="C2108">
        <v>9</v>
      </c>
      <c r="D2108">
        <v>1182.384</v>
      </c>
    </row>
    <row r="2109" spans="1:4">
      <c r="A2109" t="str">
        <f>"22162-7J505"</f>
        <v>22162-7J505</v>
      </c>
      <c r="B2109" t="str">
        <f>"CAP ASSY-DISTRI"</f>
        <v>CAP ASSY-DISTRI</v>
      </c>
      <c r="C2109">
        <v>4</v>
      </c>
      <c r="D2109">
        <v>1218.6959999999999</v>
      </c>
    </row>
    <row r="2110" spans="1:4">
      <c r="A2110" t="str">
        <f>"22162-82J00"</f>
        <v>22162-82J00</v>
      </c>
      <c r="B2110" t="str">
        <f>"CAP ASSY-DISTRI"</f>
        <v>CAP ASSY-DISTRI</v>
      </c>
      <c r="C2110">
        <v>1</v>
      </c>
      <c r="D2110">
        <v>1103.232</v>
      </c>
    </row>
    <row r="2111" spans="1:4">
      <c r="A2111" t="str">
        <f>"22162-D35X2"</f>
        <v>22162-D35X2</v>
      </c>
      <c r="B2111" t="str">
        <f>"Крышка распределител"</f>
        <v>Крышка распределител</v>
      </c>
      <c r="C2111">
        <v>6</v>
      </c>
      <c r="D2111">
        <v>1096.704</v>
      </c>
    </row>
    <row r="2112" spans="1:4">
      <c r="A2112" t="str">
        <f>"22162-VB010"</f>
        <v>22162-VB010</v>
      </c>
      <c r="B2112" t="str">
        <f>"CAP ASSY-DISTRI"</f>
        <v>CAP ASSY-DISTRI</v>
      </c>
      <c r="C2112">
        <v>2</v>
      </c>
      <c r="D2112">
        <v>1257.048</v>
      </c>
    </row>
    <row r="2113" spans="1:4">
      <c r="A2113" t="str">
        <f>"22365-AX00A"</f>
        <v>22365-AX00A</v>
      </c>
      <c r="B2113" t="str">
        <f>"Датчик давления ваку"</f>
        <v>Датчик давления ваку</v>
      </c>
      <c r="C2113">
        <v>3</v>
      </c>
      <c r="D2113">
        <v>2744.6159999999995</v>
      </c>
    </row>
    <row r="2114" spans="1:4">
      <c r="A2114" t="str">
        <f>"22365-VC10A"</f>
        <v>22365-VC10A</v>
      </c>
      <c r="B2114" t="str">
        <f>"Датчик давления ваку"</f>
        <v>Датчик давления ваку</v>
      </c>
      <c r="C2114">
        <v>5</v>
      </c>
      <c r="D2114">
        <v>3128.9519999999998</v>
      </c>
    </row>
    <row r="2115" spans="1:4">
      <c r="A2115" t="str">
        <f>"22401-01P15"</f>
        <v>22401-01P15</v>
      </c>
      <c r="B2115" t="str">
        <f>"PLUG-SPARK"</f>
        <v>PLUG-SPARK</v>
      </c>
      <c r="C2115">
        <v>1</v>
      </c>
      <c r="D2115">
        <v>81.599999999999994</v>
      </c>
    </row>
    <row r="2116" spans="1:4">
      <c r="A2116" t="str">
        <f>"22401-10P16"</f>
        <v>22401-10P16</v>
      </c>
      <c r="B2116" t="str">
        <f>"Свеча зажигания"</f>
        <v>Свеча зажигания</v>
      </c>
      <c r="C2116">
        <v>2</v>
      </c>
      <c r="D2116">
        <v>102</v>
      </c>
    </row>
    <row r="2117" spans="1:4">
      <c r="A2117" t="str">
        <f>"22401-1KC1C"</f>
        <v>22401-1KC1C</v>
      </c>
      <c r="B2117" t="str">
        <f>"Свеча зажигания"</f>
        <v>Свеча зажигания</v>
      </c>
      <c r="C2117">
        <v>0</v>
      </c>
      <c r="D2117">
        <v>512.44799999999998</v>
      </c>
    </row>
    <row r="2118" spans="1:4">
      <c r="A2118" t="str">
        <f>"22401-1KT1B"</f>
        <v>22401-1KT1B</v>
      </c>
      <c r="B2118" t="str">
        <f>"Свеча зажигания"</f>
        <v>Свеча зажигания</v>
      </c>
      <c r="C2118">
        <v>0</v>
      </c>
      <c r="D2118">
        <v>503.06400000000002</v>
      </c>
    </row>
    <row r="2119" spans="1:4">
      <c r="A2119" t="str">
        <f>"22401-1LA1C"</f>
        <v>22401-1LA1C</v>
      </c>
      <c r="B2119" t="str">
        <f>"Свеча зажигания"</f>
        <v>Свеча зажигания</v>
      </c>
      <c r="C2119">
        <v>33</v>
      </c>
      <c r="D2119">
        <v>751.12800000000004</v>
      </c>
    </row>
    <row r="2120" spans="1:4">
      <c r="A2120" t="str">
        <f>"22401-1P114"</f>
        <v>22401-1P114</v>
      </c>
      <c r="B2120" t="str">
        <f t="shared" ref="B2120:B2138" si="35">"PLUG-SPARK"</f>
        <v>PLUG-SPARK</v>
      </c>
      <c r="C2120">
        <v>12</v>
      </c>
      <c r="D2120">
        <v>346.8</v>
      </c>
    </row>
    <row r="2121" spans="1:4">
      <c r="A2121" t="str">
        <f>"22401-1P115"</f>
        <v>22401-1P115</v>
      </c>
      <c r="B2121" t="str">
        <f t="shared" si="35"/>
        <v>PLUG-SPARK</v>
      </c>
      <c r="C2121">
        <v>213</v>
      </c>
      <c r="D2121">
        <v>364.75199999999995</v>
      </c>
    </row>
    <row r="2122" spans="1:4">
      <c r="A2122" t="str">
        <f>"22401-1P116"</f>
        <v>22401-1P116</v>
      </c>
      <c r="B2122" t="str">
        <f t="shared" si="35"/>
        <v>PLUG-SPARK</v>
      </c>
      <c r="C2122">
        <v>240</v>
      </c>
      <c r="D2122">
        <v>423.09599999999995</v>
      </c>
    </row>
    <row r="2123" spans="1:4">
      <c r="A2123" t="str">
        <f>"22401-1W615"</f>
        <v>22401-1W615</v>
      </c>
      <c r="B2123" t="str">
        <f t="shared" si="35"/>
        <v>PLUG-SPARK</v>
      </c>
      <c r="C2123">
        <v>34</v>
      </c>
      <c r="D2123">
        <v>418.2</v>
      </c>
    </row>
    <row r="2124" spans="1:4">
      <c r="A2124" t="str">
        <f>"22401-20J05"</f>
        <v>22401-20J05</v>
      </c>
      <c r="B2124" t="str">
        <f t="shared" si="35"/>
        <v>PLUG-SPARK</v>
      </c>
      <c r="C2124">
        <v>360</v>
      </c>
      <c r="D2124">
        <v>99.144000000000005</v>
      </c>
    </row>
    <row r="2125" spans="1:4">
      <c r="A2125" t="str">
        <f>"22401-20J06"</f>
        <v>22401-20J06</v>
      </c>
      <c r="B2125" t="str">
        <f t="shared" si="35"/>
        <v>PLUG-SPARK</v>
      </c>
      <c r="C2125">
        <v>115</v>
      </c>
      <c r="D2125">
        <v>95.471999999999994</v>
      </c>
    </row>
    <row r="2126" spans="1:4">
      <c r="A2126" t="str">
        <f>"22401-20J07"</f>
        <v>22401-20J07</v>
      </c>
      <c r="B2126" t="str">
        <f t="shared" si="35"/>
        <v>PLUG-SPARK</v>
      </c>
      <c r="C2126">
        <v>10</v>
      </c>
      <c r="D2126">
        <v>102.816</v>
      </c>
    </row>
    <row r="2127" spans="1:4">
      <c r="A2127" t="str">
        <f>"22401-2F200"</f>
        <v>22401-2F200</v>
      </c>
      <c r="B2127" t="str">
        <f t="shared" si="35"/>
        <v>PLUG-SPARK</v>
      </c>
      <c r="C2127">
        <v>70</v>
      </c>
      <c r="D2127">
        <v>103.22399999999999</v>
      </c>
    </row>
    <row r="2128" spans="1:4">
      <c r="A2128" t="str">
        <f>"22401-2J200"</f>
        <v>22401-2J200</v>
      </c>
      <c r="B2128" t="str">
        <f t="shared" si="35"/>
        <v>PLUG-SPARK</v>
      </c>
      <c r="C2128">
        <v>26</v>
      </c>
      <c r="D2128">
        <v>100.36799999999999</v>
      </c>
    </row>
    <row r="2129" spans="1:4">
      <c r="A2129" t="str">
        <f>"22401-2J206"</f>
        <v>22401-2J206</v>
      </c>
      <c r="B2129" t="str">
        <f t="shared" si="35"/>
        <v>PLUG-SPARK</v>
      </c>
      <c r="C2129">
        <v>0</v>
      </c>
      <c r="D2129">
        <v>104.44800000000001</v>
      </c>
    </row>
    <row r="2130" spans="1:4">
      <c r="A2130" t="str">
        <f>"22401-30R15"</f>
        <v>22401-30R15</v>
      </c>
      <c r="B2130" t="str">
        <f t="shared" si="35"/>
        <v>PLUG-SPARK</v>
      </c>
      <c r="C2130">
        <v>76</v>
      </c>
      <c r="D2130">
        <v>115.872</v>
      </c>
    </row>
    <row r="2131" spans="1:4">
      <c r="A2131" t="str">
        <f>"22401-50Y04"</f>
        <v>22401-50Y04</v>
      </c>
      <c r="B2131" t="str">
        <f t="shared" si="35"/>
        <v>PLUG-SPARK</v>
      </c>
      <c r="C2131">
        <v>151</v>
      </c>
      <c r="D2131">
        <v>114.24</v>
      </c>
    </row>
    <row r="2132" spans="1:4">
      <c r="A2132" t="str">
        <f>"22401-50Y05"</f>
        <v>22401-50Y05</v>
      </c>
      <c r="B2132" t="str">
        <f t="shared" si="35"/>
        <v>PLUG-SPARK</v>
      </c>
      <c r="C2132">
        <v>334</v>
      </c>
      <c r="D2132">
        <v>112.608</v>
      </c>
    </row>
    <row r="2133" spans="1:4">
      <c r="A2133" t="str">
        <f>"22401-50Y06"</f>
        <v>22401-50Y06</v>
      </c>
      <c r="B2133" t="str">
        <f t="shared" si="35"/>
        <v>PLUG-SPARK</v>
      </c>
      <c r="C2133">
        <v>136</v>
      </c>
      <c r="D2133">
        <v>113.01600000000001</v>
      </c>
    </row>
    <row r="2134" spans="1:4">
      <c r="A2134" t="str">
        <f>"22401-53J05"</f>
        <v>22401-53J05</v>
      </c>
      <c r="B2134" t="str">
        <f t="shared" si="35"/>
        <v>PLUG-SPARK</v>
      </c>
      <c r="C2134">
        <v>11</v>
      </c>
      <c r="D2134">
        <v>112.2</v>
      </c>
    </row>
    <row r="2135" spans="1:4">
      <c r="A2135" t="str">
        <f>"22401-53J06"</f>
        <v>22401-53J06</v>
      </c>
      <c r="B2135" t="str">
        <f t="shared" si="35"/>
        <v>PLUG-SPARK</v>
      </c>
      <c r="C2135">
        <v>68</v>
      </c>
      <c r="D2135">
        <v>120.35999999999999</v>
      </c>
    </row>
    <row r="2136" spans="1:4">
      <c r="A2136" t="str">
        <f>"22401-5M014"</f>
        <v>22401-5M014</v>
      </c>
      <c r="B2136" t="str">
        <f t="shared" si="35"/>
        <v>PLUG-SPARK</v>
      </c>
      <c r="C2136">
        <v>237</v>
      </c>
      <c r="D2136">
        <v>365.976</v>
      </c>
    </row>
    <row r="2137" spans="1:4">
      <c r="A2137" t="str">
        <f>"22401-5M015"</f>
        <v>22401-5M015</v>
      </c>
      <c r="B2137" t="str">
        <f t="shared" si="35"/>
        <v>PLUG-SPARK</v>
      </c>
      <c r="C2137">
        <v>592</v>
      </c>
      <c r="D2137">
        <v>418.60799999999995</v>
      </c>
    </row>
    <row r="2138" spans="1:4">
      <c r="A2138" t="str">
        <f>"22401-5M016"</f>
        <v>22401-5M016</v>
      </c>
      <c r="B2138" t="str">
        <f t="shared" si="35"/>
        <v>PLUG-SPARK</v>
      </c>
      <c r="C2138">
        <v>475</v>
      </c>
      <c r="D2138">
        <v>365.976</v>
      </c>
    </row>
    <row r="2139" spans="1:4">
      <c r="A2139" t="str">
        <f>"22401-6N215"</f>
        <v>22401-6N215</v>
      </c>
      <c r="B2139" t="str">
        <f>"Свеча зажигания"</f>
        <v>Свеча зажигания</v>
      </c>
      <c r="C2139">
        <v>46</v>
      </c>
      <c r="D2139">
        <v>665.85599999999999</v>
      </c>
    </row>
    <row r="2140" spans="1:4">
      <c r="A2140" t="str">
        <f>"22401-85E15"</f>
        <v>22401-85E15</v>
      </c>
      <c r="B2140" t="str">
        <f t="shared" ref="B2140:B2147" si="36">"PLUG-SPARK"</f>
        <v>PLUG-SPARK</v>
      </c>
      <c r="C2140">
        <v>44</v>
      </c>
      <c r="D2140">
        <v>78.744</v>
      </c>
    </row>
    <row r="2141" spans="1:4">
      <c r="A2141" t="str">
        <f>"22401-85E16"</f>
        <v>22401-85E16</v>
      </c>
      <c r="B2141" t="str">
        <f t="shared" si="36"/>
        <v>PLUG-SPARK</v>
      </c>
      <c r="C2141">
        <v>1</v>
      </c>
      <c r="D2141">
        <v>102.408</v>
      </c>
    </row>
    <row r="2142" spans="1:4">
      <c r="A2142" t="str">
        <f>"22401-8H314"</f>
        <v>22401-8H314</v>
      </c>
      <c r="B2142" t="str">
        <f t="shared" si="36"/>
        <v>PLUG-SPARK</v>
      </c>
      <c r="C2142">
        <v>3</v>
      </c>
      <c r="D2142">
        <v>415.34399999999999</v>
      </c>
    </row>
    <row r="2143" spans="1:4">
      <c r="A2143" t="str">
        <f>"22401-8H315"</f>
        <v>22401-8H315</v>
      </c>
      <c r="B2143" t="str">
        <f t="shared" si="36"/>
        <v>PLUG-SPARK</v>
      </c>
      <c r="C2143">
        <v>795</v>
      </c>
      <c r="D2143">
        <v>487.96799999999996</v>
      </c>
    </row>
    <row r="2144" spans="1:4">
      <c r="A2144" t="str">
        <f>"22401-8H316"</f>
        <v>22401-8H316</v>
      </c>
      <c r="B2144" t="str">
        <f t="shared" si="36"/>
        <v>PLUG-SPARK</v>
      </c>
      <c r="C2144">
        <v>144</v>
      </c>
      <c r="D2144">
        <v>414.12</v>
      </c>
    </row>
    <row r="2145" spans="1:4">
      <c r="A2145" t="str">
        <f>"22401-8H514"</f>
        <v>22401-8H514</v>
      </c>
      <c r="B2145" t="str">
        <f t="shared" si="36"/>
        <v>PLUG-SPARK</v>
      </c>
      <c r="C2145">
        <v>95</v>
      </c>
      <c r="D2145">
        <v>103.22399999999999</v>
      </c>
    </row>
    <row r="2146" spans="1:4">
      <c r="A2146" t="str">
        <f>"22401-8H515"</f>
        <v>22401-8H515</v>
      </c>
      <c r="B2146" t="str">
        <f t="shared" si="36"/>
        <v>PLUG-SPARK</v>
      </c>
      <c r="C2146">
        <v>952</v>
      </c>
      <c r="D2146">
        <v>152.184</v>
      </c>
    </row>
    <row r="2147" spans="1:4">
      <c r="A2147" t="str">
        <f>"22401-8H516"</f>
        <v>22401-8H516</v>
      </c>
      <c r="B2147" t="str">
        <f t="shared" si="36"/>
        <v>PLUG-SPARK</v>
      </c>
      <c r="C2147">
        <v>92</v>
      </c>
      <c r="D2147">
        <v>102</v>
      </c>
    </row>
    <row r="2148" spans="1:4">
      <c r="A2148" t="str">
        <f>"22401-AL815"</f>
        <v>22401-AL815</v>
      </c>
      <c r="B2148" t="str">
        <f>"Свеча зажигания"</f>
        <v>Свеча зажигания</v>
      </c>
      <c r="C2148">
        <v>177</v>
      </c>
      <c r="D2148">
        <v>353.32799999999997</v>
      </c>
    </row>
    <row r="2149" spans="1:4">
      <c r="A2149" t="str">
        <f>"22401-AR715"</f>
        <v>22401-AR715</v>
      </c>
      <c r="B2149" t="str">
        <f>"Свеча зажигания"</f>
        <v>Свеча зажигания</v>
      </c>
      <c r="C2149">
        <v>4</v>
      </c>
      <c r="D2149">
        <v>130.96799999999999</v>
      </c>
    </row>
    <row r="2150" spans="1:4">
      <c r="A2150" t="str">
        <f>"22401-AU015"</f>
        <v>22401-AU015</v>
      </c>
      <c r="B2150" t="str">
        <f>"PLUG-SPARK"</f>
        <v>PLUG-SPARK</v>
      </c>
      <c r="C2150">
        <v>146</v>
      </c>
      <c r="D2150">
        <v>108.93599999999999</v>
      </c>
    </row>
    <row r="2151" spans="1:4">
      <c r="A2151" t="str">
        <f>"22401-AX015"</f>
        <v>22401-AX015</v>
      </c>
      <c r="B2151" t="str">
        <f>"PLUG-SPARK"</f>
        <v>PLUG-SPARK</v>
      </c>
      <c r="C2151">
        <v>41</v>
      </c>
      <c r="D2151">
        <v>137.08799999999999</v>
      </c>
    </row>
    <row r="2152" spans="1:4">
      <c r="A2152" t="str">
        <f>"22401-BC01B"</f>
        <v>22401-BC01B</v>
      </c>
      <c r="B2152" t="str">
        <f>"Свеча зажигания"</f>
        <v>Свеча зажигания</v>
      </c>
      <c r="C2152">
        <v>18</v>
      </c>
      <c r="D2152">
        <v>137.08799999999999</v>
      </c>
    </row>
    <row r="2153" spans="1:4">
      <c r="A2153" t="str">
        <f>"22401-CK81B"</f>
        <v>22401-CK81B</v>
      </c>
      <c r="B2153" t="str">
        <f>"Свеча зажигания"</f>
        <v>Свеча зажигания</v>
      </c>
      <c r="C2153">
        <v>48</v>
      </c>
      <c r="D2153">
        <v>494.904</v>
      </c>
    </row>
    <row r="2154" spans="1:4">
      <c r="A2154" t="str">
        <f>"22401-ED71B"</f>
        <v>22401-ED71B</v>
      </c>
      <c r="B2154" t="str">
        <f>"Свеча зажигания"</f>
        <v>Свеча зажигания</v>
      </c>
      <c r="C2154">
        <v>10</v>
      </c>
      <c r="D2154">
        <v>698.49599999999998</v>
      </c>
    </row>
    <row r="2155" spans="1:4">
      <c r="A2155" t="str">
        <f>"22401-ED815"</f>
        <v>22401-ED815</v>
      </c>
      <c r="B2155" t="str">
        <f>"PLUG-SPARK"</f>
        <v>PLUG-SPARK</v>
      </c>
      <c r="C2155">
        <v>1</v>
      </c>
      <c r="D2155">
        <v>408</v>
      </c>
    </row>
    <row r="2156" spans="1:4">
      <c r="A2156" t="str">
        <f>"22401-EW61C"</f>
        <v>22401-EW61C</v>
      </c>
      <c r="B2156" t="str">
        <f>"Свеча зажигания"</f>
        <v>Свеча зажигания</v>
      </c>
      <c r="C2156">
        <v>35</v>
      </c>
      <c r="D2156">
        <v>791.928</v>
      </c>
    </row>
    <row r="2157" spans="1:4">
      <c r="A2157" t="str">
        <f>"22401-JA01B"</f>
        <v>22401-JA01B</v>
      </c>
      <c r="B2157" t="str">
        <f>"Свеча зажигания"</f>
        <v>Свеча зажигания</v>
      </c>
      <c r="C2157">
        <v>0</v>
      </c>
      <c r="D2157">
        <v>798.45600000000002</v>
      </c>
    </row>
    <row r="2158" spans="1:4">
      <c r="A2158" t="str">
        <f>"22401-JD01B"</f>
        <v>22401-JD01B</v>
      </c>
      <c r="B2158" t="str">
        <f>"Свеча зажигания"</f>
        <v>Свеча зажигания</v>
      </c>
      <c r="C2158">
        <v>0</v>
      </c>
      <c r="D2158">
        <v>710.73599999999999</v>
      </c>
    </row>
    <row r="2159" spans="1:4">
      <c r="A2159" t="str">
        <f>"22401-JF01D"</f>
        <v>22401-JF01D</v>
      </c>
      <c r="B2159" t="str">
        <f>"Свеча зажигания"</f>
        <v>Свеча зажигания</v>
      </c>
      <c r="C2159">
        <v>6</v>
      </c>
      <c r="D2159">
        <v>792.3359999999999</v>
      </c>
    </row>
    <row r="2160" spans="1:4">
      <c r="A2160" t="str">
        <f>"22401-JK01D"</f>
        <v>22401-JK01D</v>
      </c>
      <c r="B2160" t="str">
        <f>"Свеча зажигания"</f>
        <v>Свеча зажигания</v>
      </c>
      <c r="C2160">
        <v>0</v>
      </c>
      <c r="D2160">
        <v>636.88800000000003</v>
      </c>
    </row>
    <row r="2161" spans="1:4">
      <c r="A2161" t="str">
        <f>"22401-V1415"</f>
        <v>22401-V1415</v>
      </c>
      <c r="B2161" t="str">
        <f>"PLUG-SPARK"</f>
        <v>PLUG-SPARK</v>
      </c>
      <c r="C2161">
        <v>11</v>
      </c>
      <c r="D2161">
        <v>95.063999999999993</v>
      </c>
    </row>
    <row r="2162" spans="1:4">
      <c r="A2162" t="str">
        <f>"22401-VB006"</f>
        <v>22401-VB006</v>
      </c>
      <c r="B2162" t="str">
        <f>"PLUG-SPARK"</f>
        <v>PLUG-SPARK</v>
      </c>
      <c r="C2162">
        <v>12</v>
      </c>
      <c r="D2162">
        <v>78.744</v>
      </c>
    </row>
    <row r="2163" spans="1:4">
      <c r="A2163" t="str">
        <f>"22401-W8916"</f>
        <v>22401-W8916</v>
      </c>
      <c r="B2163" t="str">
        <f>"PLUG-SPARK"</f>
        <v>PLUG-SPARK</v>
      </c>
      <c r="C2163">
        <v>1</v>
      </c>
      <c r="D2163">
        <v>73.44</v>
      </c>
    </row>
    <row r="2164" spans="1:4">
      <c r="A2164" t="str">
        <f>"22401-ZE01B"</f>
        <v>22401-ZE01B</v>
      </c>
      <c r="B2164" t="str">
        <f>"Свеча зажигания"</f>
        <v>Свеча зажигания</v>
      </c>
      <c r="C2164">
        <v>224</v>
      </c>
      <c r="D2164">
        <v>726.24</v>
      </c>
    </row>
    <row r="2165" spans="1:4">
      <c r="A2165" t="str">
        <f>"22440-1S710"</f>
        <v>22440-1S710</v>
      </c>
      <c r="B2165" t="str">
        <f>"CABLE SET"</f>
        <v>CABLE SET</v>
      </c>
      <c r="C2165">
        <v>3</v>
      </c>
      <c r="D2165">
        <v>1778.88</v>
      </c>
    </row>
    <row r="2166" spans="1:4">
      <c r="A2166" t="str">
        <f>"22440-2F200"</f>
        <v>22440-2F200</v>
      </c>
      <c r="B2166" t="str">
        <f>"CABLE SET"</f>
        <v>CABLE SET</v>
      </c>
      <c r="C2166">
        <v>0</v>
      </c>
      <c r="D2166">
        <v>1861.704</v>
      </c>
    </row>
    <row r="2167" spans="1:4">
      <c r="A2167" t="str">
        <f>"22440-2J210"</f>
        <v>22440-2J210</v>
      </c>
      <c r="B2167" t="str">
        <f>"CABLE SET-HIGH"</f>
        <v>CABLE SET-HIGH</v>
      </c>
      <c r="C2167">
        <v>1</v>
      </c>
      <c r="D2167">
        <v>1857.6239999999998</v>
      </c>
    </row>
    <row r="2168" spans="1:4">
      <c r="A2168" t="str">
        <f>"22440-AN200"</f>
        <v>22440-AN200</v>
      </c>
      <c r="B2168" t="str">
        <f>"Провода высоковольтн"</f>
        <v>Провода высоковольтн</v>
      </c>
      <c r="C2168">
        <v>3</v>
      </c>
      <c r="D2168">
        <v>1702.1759999999999</v>
      </c>
    </row>
    <row r="2169" spans="1:4">
      <c r="A2169" t="str">
        <f>"22440-VB01A"</f>
        <v>22440-VB01A</v>
      </c>
      <c r="B2169" t="str">
        <f>"Провода высоковольтн"</f>
        <v>Провода высоковольтн</v>
      </c>
      <c r="C2169">
        <v>5</v>
      </c>
      <c r="D2169">
        <v>2009.8079999999998</v>
      </c>
    </row>
    <row r="2170" spans="1:4">
      <c r="A2170" t="str">
        <f>"22448-1LA0A"</f>
        <v>22448-1LA0A</v>
      </c>
      <c r="B2170" t="str">
        <f>"Катушка зажигани"</f>
        <v>Катушка зажигани</v>
      </c>
      <c r="C2170">
        <v>10</v>
      </c>
      <c r="D2170">
        <v>2173.0079999999998</v>
      </c>
    </row>
    <row r="2171" spans="1:4">
      <c r="A2171" t="str">
        <f>"22448-1LA0B"</f>
        <v>22448-1LA0B</v>
      </c>
      <c r="B2171" t="str">
        <f>"Катушка зажигани"</f>
        <v>Катушка зажигани</v>
      </c>
      <c r="C2171">
        <v>12</v>
      </c>
      <c r="D2171">
        <v>2168.1120000000001</v>
      </c>
    </row>
    <row r="2172" spans="1:4">
      <c r="A2172" t="str">
        <f>"22448-2Y000"</f>
        <v>22448-2Y000</v>
      </c>
      <c r="B2172" t="str">
        <f t="shared" ref="B2172:B2178" si="37">"COIL-IGNITION"</f>
        <v>COIL-IGNITION</v>
      </c>
      <c r="C2172">
        <v>25</v>
      </c>
      <c r="D2172">
        <v>1836</v>
      </c>
    </row>
    <row r="2173" spans="1:4">
      <c r="A2173" t="str">
        <f>"22448-2Y001"</f>
        <v>22448-2Y001</v>
      </c>
      <c r="B2173" t="str">
        <f t="shared" si="37"/>
        <v>COIL-IGNITION</v>
      </c>
      <c r="C2173">
        <v>19</v>
      </c>
      <c r="D2173">
        <v>2131.3919999999998</v>
      </c>
    </row>
    <row r="2174" spans="1:4">
      <c r="A2174" t="str">
        <f>"22448-2Y005"</f>
        <v>22448-2Y005</v>
      </c>
      <c r="B2174" t="str">
        <f t="shared" si="37"/>
        <v>COIL-IGNITION</v>
      </c>
      <c r="C2174">
        <v>8</v>
      </c>
      <c r="D2174">
        <v>1836</v>
      </c>
    </row>
    <row r="2175" spans="1:4">
      <c r="A2175" t="str">
        <f>"22448-2Y007"</f>
        <v>22448-2Y007</v>
      </c>
      <c r="B2175" t="str">
        <f t="shared" si="37"/>
        <v>COIL-IGNITION</v>
      </c>
      <c r="C2175">
        <v>10</v>
      </c>
      <c r="D2175">
        <v>2133.0239999999999</v>
      </c>
    </row>
    <row r="2176" spans="1:4">
      <c r="A2176" t="str">
        <f>"22448-2Y700"</f>
        <v>22448-2Y700</v>
      </c>
      <c r="B2176" t="str">
        <f t="shared" si="37"/>
        <v>COIL-IGNITION</v>
      </c>
      <c r="C2176">
        <v>4</v>
      </c>
      <c r="D2176">
        <v>2352.9359999999997</v>
      </c>
    </row>
    <row r="2177" spans="1:4">
      <c r="A2177" t="str">
        <f>"22448-31U01"</f>
        <v>22448-31U01</v>
      </c>
      <c r="B2177" t="str">
        <f t="shared" si="37"/>
        <v>COIL-IGNITION</v>
      </c>
      <c r="C2177">
        <v>18</v>
      </c>
      <c r="D2177">
        <v>1983.6959999999999</v>
      </c>
    </row>
    <row r="2178" spans="1:4">
      <c r="A2178" t="str">
        <f>"22448-31U06"</f>
        <v>22448-31U06</v>
      </c>
      <c r="B2178" t="str">
        <f t="shared" si="37"/>
        <v>COIL-IGNITION</v>
      </c>
      <c r="C2178">
        <v>9</v>
      </c>
      <c r="D2178">
        <v>2158.7280000000001</v>
      </c>
    </row>
    <row r="2179" spans="1:4">
      <c r="A2179" t="str">
        <f>"22448-4M50A"</f>
        <v>22448-4M50A</v>
      </c>
      <c r="B2179" t="str">
        <f>"Катушка зажигани"</f>
        <v>Катушка зажигани</v>
      </c>
      <c r="C2179">
        <v>8</v>
      </c>
      <c r="D2179">
        <v>2142.8159999999998</v>
      </c>
    </row>
    <row r="2180" spans="1:4">
      <c r="A2180" t="str">
        <f>"22448-4W000"</f>
        <v>22448-4W000</v>
      </c>
      <c r="B2180" t="str">
        <f>"COIL-IGNITION"</f>
        <v>COIL-IGNITION</v>
      </c>
      <c r="C2180">
        <v>5</v>
      </c>
      <c r="D2180">
        <v>2348.4479999999999</v>
      </c>
    </row>
    <row r="2181" spans="1:4">
      <c r="A2181" t="str">
        <f>"22448-4W010"</f>
        <v>22448-4W010</v>
      </c>
      <c r="B2181" t="str">
        <f>"COIL-IGNITION"</f>
        <v>COIL-IGNITION</v>
      </c>
      <c r="C2181">
        <v>3</v>
      </c>
      <c r="D2181">
        <v>2455.752</v>
      </c>
    </row>
    <row r="2182" spans="1:4">
      <c r="A2182" t="str">
        <f>"22448-6N015"</f>
        <v>22448-6N015</v>
      </c>
      <c r="B2182" t="str">
        <f>"COIL-IGNITION"</f>
        <v>COIL-IGNITION</v>
      </c>
      <c r="C2182">
        <v>5</v>
      </c>
      <c r="D2182">
        <v>1995.12</v>
      </c>
    </row>
    <row r="2183" spans="1:4">
      <c r="A2183" t="str">
        <f>"22448-7S015"</f>
        <v>22448-7S015</v>
      </c>
      <c r="B2183" t="str">
        <f>"COIL-IGNITION"</f>
        <v>COIL-IGNITION</v>
      </c>
      <c r="C2183">
        <v>6</v>
      </c>
      <c r="D2183">
        <v>2378.64</v>
      </c>
    </row>
    <row r="2184" spans="1:4">
      <c r="A2184" t="str">
        <f>"22448-8H315"</f>
        <v>22448-8H315</v>
      </c>
      <c r="B2184" t="str">
        <f>"COIL-IGNITION"</f>
        <v>COIL-IGNITION</v>
      </c>
      <c r="C2184">
        <v>33</v>
      </c>
      <c r="D2184">
        <v>2251.752</v>
      </c>
    </row>
    <row r="2185" spans="1:4">
      <c r="A2185" t="str">
        <f>"22448-8J11C"</f>
        <v>22448-8J11C</v>
      </c>
      <c r="B2185" t="str">
        <f>"Катушка зажигани"</f>
        <v>Катушка зажигани</v>
      </c>
      <c r="C2185">
        <v>24</v>
      </c>
      <c r="D2185">
        <v>2164.44</v>
      </c>
    </row>
    <row r="2186" spans="1:4">
      <c r="A2186" t="str">
        <f>"22448-AA000"</f>
        <v>22448-AA000</v>
      </c>
      <c r="B2186" t="str">
        <f>"COIL-IGNITION"</f>
        <v>COIL-IGNITION</v>
      </c>
      <c r="C2186">
        <v>14</v>
      </c>
      <c r="D2186">
        <v>2569.9919999999997</v>
      </c>
    </row>
    <row r="2187" spans="1:4">
      <c r="A2187" t="str">
        <f>"22448-AA100"</f>
        <v>22448-AA100</v>
      </c>
      <c r="B2187" t="str">
        <f>"COIL-IGNITION"</f>
        <v>COIL-IGNITION</v>
      </c>
      <c r="C2187">
        <v>17</v>
      </c>
      <c r="D2187">
        <v>2178.7199999999998</v>
      </c>
    </row>
    <row r="2188" spans="1:4">
      <c r="A2188" t="str">
        <f>"22448-AL61C"</f>
        <v>22448-AL61C</v>
      </c>
      <c r="B2188" t="str">
        <f>"Катушка зажигани"</f>
        <v>Катушка зажигани</v>
      </c>
      <c r="C2188">
        <v>46</v>
      </c>
      <c r="D2188">
        <v>2161.1759999999999</v>
      </c>
    </row>
    <row r="2189" spans="1:4">
      <c r="A2189" t="str">
        <f>"22448-AR215"</f>
        <v>22448-AR215</v>
      </c>
      <c r="B2189" t="str">
        <f>"Катушка зажигани"</f>
        <v>Катушка зажигани</v>
      </c>
      <c r="C2189">
        <v>2</v>
      </c>
      <c r="D2189">
        <v>2229.3119999999999</v>
      </c>
    </row>
    <row r="2190" spans="1:4">
      <c r="A2190" t="str">
        <f>"22448-AX001"</f>
        <v>22448-AX001</v>
      </c>
      <c r="B2190" t="str">
        <f>"COIL-IGNITION"</f>
        <v>COIL-IGNITION</v>
      </c>
      <c r="C2190">
        <v>22</v>
      </c>
      <c r="D2190">
        <v>2131.3919999999998</v>
      </c>
    </row>
    <row r="2191" spans="1:4">
      <c r="A2191" t="str">
        <f>"22448-ED800"</f>
        <v>22448-ED800</v>
      </c>
      <c r="B2191" t="str">
        <f>"Катушка зажигани"</f>
        <v>Катушка зажигани</v>
      </c>
      <c r="C2191">
        <v>14</v>
      </c>
      <c r="D2191">
        <v>2116.7040000000002</v>
      </c>
    </row>
    <row r="2192" spans="1:4">
      <c r="A2192" t="str">
        <f>"22448-EY00A"</f>
        <v>22448-EY00A</v>
      </c>
      <c r="B2192" t="str">
        <f>"Катушка зажигани"</f>
        <v>Катушка зажигани</v>
      </c>
      <c r="C2192">
        <v>2</v>
      </c>
      <c r="D2192">
        <v>1982.4719999999998</v>
      </c>
    </row>
    <row r="2193" spans="1:4">
      <c r="A2193" t="str">
        <f>"22448-JA00C"</f>
        <v>22448-JA00C</v>
      </c>
      <c r="B2193" t="str">
        <f>"Катушка зажигани"</f>
        <v>Катушка зажигани</v>
      </c>
      <c r="C2193">
        <v>6</v>
      </c>
      <c r="D2193">
        <v>2146.08</v>
      </c>
    </row>
    <row r="2194" spans="1:4">
      <c r="A2194" t="str">
        <f>"22448-JA10C"</f>
        <v>22448-JA10C</v>
      </c>
      <c r="B2194" t="str">
        <f>"Катушка зажигани"</f>
        <v>Катушка зажигани</v>
      </c>
      <c r="C2194">
        <v>1</v>
      </c>
      <c r="D2194">
        <v>2148.5279999999998</v>
      </c>
    </row>
    <row r="2195" spans="1:4">
      <c r="A2195" t="str">
        <f>"22450-0W025"</f>
        <v>22450-0W025</v>
      </c>
      <c r="B2195" t="str">
        <f>"CABLE SET"</f>
        <v>CABLE SET</v>
      </c>
      <c r="C2195">
        <v>6</v>
      </c>
      <c r="D2195">
        <v>1947.3839999999998</v>
      </c>
    </row>
    <row r="2196" spans="1:4">
      <c r="A2196" t="str">
        <f>"22620-31U0A"</f>
        <v>22620-31U0A</v>
      </c>
      <c r="B2196" t="str">
        <f>"Датчик положения дро"</f>
        <v>Датчик положения дро</v>
      </c>
      <c r="C2196">
        <v>5</v>
      </c>
      <c r="D2196">
        <v>1584.2639999999999</v>
      </c>
    </row>
    <row r="2197" spans="1:4">
      <c r="A2197" t="str">
        <f>"22620-4M50A"</f>
        <v>22620-4M50A</v>
      </c>
      <c r="B2197" t="str">
        <f>"Датчик положения дро"</f>
        <v>Датчик положения дро</v>
      </c>
      <c r="C2197">
        <v>3</v>
      </c>
      <c r="D2197">
        <v>1556.9280000000001</v>
      </c>
    </row>
    <row r="2198" spans="1:4">
      <c r="A2198" t="str">
        <f>"22620-4M51A"</f>
        <v>22620-4M51A</v>
      </c>
      <c r="B2198" t="str">
        <f>"Датчик положения дро"</f>
        <v>Датчик положения дро</v>
      </c>
      <c r="C2198">
        <v>2</v>
      </c>
      <c r="D2198">
        <v>1868.2319999999997</v>
      </c>
    </row>
    <row r="2199" spans="1:4">
      <c r="A2199" t="str">
        <f>"22620-4P21A"</f>
        <v>22620-4P21A</v>
      </c>
      <c r="B2199" t="str">
        <f>"Датчик положения дро"</f>
        <v>Датчик положения дро</v>
      </c>
      <c r="C2199">
        <v>8</v>
      </c>
      <c r="D2199">
        <v>1910.2560000000001</v>
      </c>
    </row>
    <row r="2200" spans="1:4">
      <c r="A2200" t="str">
        <f>"22630-1S700"</f>
        <v>22630-1S700</v>
      </c>
      <c r="B2200" t="str">
        <f>"SENSOR ASSY-TEM"</f>
        <v>SENSOR ASSY-TEM</v>
      </c>
      <c r="C2200">
        <v>1</v>
      </c>
      <c r="D2200">
        <v>933.096</v>
      </c>
    </row>
    <row r="2201" spans="1:4">
      <c r="A2201" t="str">
        <f>"22630-1W400"</f>
        <v>22630-1W400</v>
      </c>
      <c r="B2201" t="str">
        <f>"ENGINE COOLANT"</f>
        <v>ENGINE COOLANT</v>
      </c>
      <c r="C2201">
        <v>2</v>
      </c>
      <c r="D2201">
        <v>940.44</v>
      </c>
    </row>
    <row r="2202" spans="1:4">
      <c r="A2202" t="str">
        <f>"22630-44B20"</f>
        <v>22630-44B20</v>
      </c>
      <c r="B2202" t="str">
        <f>"SENSOR ASSY-TEM"</f>
        <v>SENSOR ASSY-TEM</v>
      </c>
      <c r="C2202">
        <v>22</v>
      </c>
      <c r="D2202">
        <v>824.56799999999998</v>
      </c>
    </row>
    <row r="2203" spans="1:4">
      <c r="A2203" t="str">
        <f>"22630-51E02"</f>
        <v>22630-51E02</v>
      </c>
      <c r="B2203" t="str">
        <f>"SENSOR ASSY-TEM"</f>
        <v>SENSOR ASSY-TEM</v>
      </c>
      <c r="C2203">
        <v>1</v>
      </c>
      <c r="D2203">
        <v>896.37599999999998</v>
      </c>
    </row>
    <row r="2204" spans="1:4">
      <c r="A2204" t="str">
        <f>"22630-95F0B"</f>
        <v>22630-95F0B</v>
      </c>
      <c r="B2204" t="str">
        <f>"Датчик температуры ж"</f>
        <v>Датчик температуры ж</v>
      </c>
      <c r="C2204">
        <v>13</v>
      </c>
      <c r="D2204">
        <v>807.024</v>
      </c>
    </row>
    <row r="2205" spans="1:4">
      <c r="A2205" t="str">
        <f>"22630-N4200"</f>
        <v>22630-N4200</v>
      </c>
      <c r="B2205" t="str">
        <f>"SENSOR ASSY-TEM"</f>
        <v>SENSOR ASSY-TEM</v>
      </c>
      <c r="C2205">
        <v>1</v>
      </c>
      <c r="D2205">
        <v>775.19999999999993</v>
      </c>
    </row>
    <row r="2206" spans="1:4">
      <c r="A2206" t="str">
        <f>"22670-38U00"</f>
        <v>22670-38U00</v>
      </c>
      <c r="B2206" t="str">
        <f>"REGULATOR ASSY-"</f>
        <v>REGULATOR ASSY-</v>
      </c>
      <c r="C2206">
        <v>0</v>
      </c>
      <c r="D2206">
        <v>2574.8879999999995</v>
      </c>
    </row>
    <row r="2207" spans="1:4">
      <c r="A2207" t="str">
        <f>"22670-5L32A"</f>
        <v>22670-5L32A</v>
      </c>
      <c r="B2207" t="str">
        <f>"Регулятор давления т"</f>
        <v>Регулятор давления т</v>
      </c>
      <c r="C2207">
        <v>5</v>
      </c>
      <c r="D2207">
        <v>2566.3199999999997</v>
      </c>
    </row>
    <row r="2208" spans="1:4">
      <c r="A2208" t="str">
        <f>"22670-73C0A"</f>
        <v>22670-73C0A</v>
      </c>
      <c r="B2208" t="str">
        <f>"Регулятор давления т"</f>
        <v>Регулятор давления т</v>
      </c>
      <c r="C2208">
        <v>14</v>
      </c>
      <c r="D2208">
        <v>2467.9919999999997</v>
      </c>
    </row>
    <row r="2209" spans="1:4">
      <c r="A2209" t="str">
        <f>"22680-2J200"</f>
        <v>22680-2J200</v>
      </c>
      <c r="B2209" t="str">
        <f>"METER-AIR FLOW"</f>
        <v>METER-AIR FLOW</v>
      </c>
      <c r="C2209">
        <v>1</v>
      </c>
      <c r="D2209">
        <v>11116.776</v>
      </c>
    </row>
    <row r="2210" spans="1:4">
      <c r="A2210" t="str">
        <f>"22680-31U05"</f>
        <v>22680-31U05</v>
      </c>
      <c r="B2210" t="str">
        <f>"METER-AIR FLOW"</f>
        <v>METER-AIR FLOW</v>
      </c>
      <c r="C2210">
        <v>3</v>
      </c>
      <c r="D2210">
        <v>13233.071999999998</v>
      </c>
    </row>
    <row r="2211" spans="1:4">
      <c r="A2211" t="str">
        <f>"22680-4M501"</f>
        <v>22680-4M501</v>
      </c>
      <c r="B2211" t="str">
        <f>"METER-AIR FLOW"</f>
        <v>METER-AIR FLOW</v>
      </c>
      <c r="C2211">
        <v>2</v>
      </c>
      <c r="D2211">
        <v>10551.696</v>
      </c>
    </row>
    <row r="2212" spans="1:4">
      <c r="A2212" t="str">
        <f>"22680-4M511"</f>
        <v>22680-4M511</v>
      </c>
      <c r="B2212" t="str">
        <f>"MASS AIR FLOW S"</f>
        <v>MASS AIR FLOW S</v>
      </c>
      <c r="C2212">
        <v>1</v>
      </c>
      <c r="D2212">
        <v>3708.3119999999999</v>
      </c>
    </row>
    <row r="2213" spans="1:4">
      <c r="A2213" t="str">
        <f>"22680-4W001"</f>
        <v>22680-4W001</v>
      </c>
      <c r="B2213" t="str">
        <f>"METER-AIR FLOW"</f>
        <v>METER-AIR FLOW</v>
      </c>
      <c r="C2213">
        <v>2</v>
      </c>
      <c r="D2213">
        <v>9792</v>
      </c>
    </row>
    <row r="2214" spans="1:4">
      <c r="A2214" t="str">
        <f>"22680-4W011"</f>
        <v>22680-4W011</v>
      </c>
      <c r="B2214" t="str">
        <f>"Датчик обьема воздуш"</f>
        <v>Датчик обьема воздуш</v>
      </c>
      <c r="C2214">
        <v>2</v>
      </c>
      <c r="D2214">
        <v>4128.96</v>
      </c>
    </row>
    <row r="2215" spans="1:4">
      <c r="A2215" t="str">
        <f>"22680-5J000"</f>
        <v>22680-5J000</v>
      </c>
      <c r="B2215" t="str">
        <f>"METER ASSY FLOW"</f>
        <v>METER ASSY FLOW</v>
      </c>
      <c r="C2215">
        <v>1</v>
      </c>
      <c r="D2215">
        <v>15055.199999999999</v>
      </c>
    </row>
    <row r="2216" spans="1:4">
      <c r="A2216" t="str">
        <f>"22680-5M30A"</f>
        <v>22680-5M30A</v>
      </c>
      <c r="B2216" t="str">
        <f>"Датчик обьема воздуш"</f>
        <v>Датчик обьема воздуш</v>
      </c>
      <c r="C2216">
        <v>2</v>
      </c>
      <c r="D2216">
        <v>11016.407999999999</v>
      </c>
    </row>
    <row r="2217" spans="1:4">
      <c r="A2217" t="str">
        <f>"22680-5M31A"</f>
        <v>22680-5M31A</v>
      </c>
      <c r="B2217" t="str">
        <f>"Датчик обьема воздуш"</f>
        <v>Датчик обьема воздуш</v>
      </c>
      <c r="C2217">
        <v>4</v>
      </c>
      <c r="D2217">
        <v>4221.1679999999997</v>
      </c>
    </row>
    <row r="2218" spans="1:4">
      <c r="A2218" t="str">
        <f>"22680-5U400"</f>
        <v>22680-5U400</v>
      </c>
      <c r="B2218" t="str">
        <f>"MASS AIR FLOW"</f>
        <v>MASS AIR FLOW</v>
      </c>
      <c r="C2218">
        <v>9</v>
      </c>
      <c r="D2218">
        <v>9383.5919999999987</v>
      </c>
    </row>
    <row r="2219" spans="1:4">
      <c r="A2219" t="str">
        <f>"22680-6N10A"</f>
        <v>22680-6N10A</v>
      </c>
      <c r="B2219" t="str">
        <f>"Датчик обьема воздуш"</f>
        <v>Датчик обьема воздуш</v>
      </c>
      <c r="C2219">
        <v>2</v>
      </c>
      <c r="D2219">
        <v>11359.536</v>
      </c>
    </row>
    <row r="2220" spans="1:4">
      <c r="A2220" t="str">
        <f>"22680-6N11A"</f>
        <v>22680-6N11A</v>
      </c>
      <c r="B2220" t="str">
        <f>"Датчик объема воздуш"</f>
        <v>Датчик объема воздуш</v>
      </c>
      <c r="C2220">
        <v>1</v>
      </c>
      <c r="D2220">
        <v>4324.8</v>
      </c>
    </row>
    <row r="2221" spans="1:4">
      <c r="A2221" t="str">
        <f>"22680-6N20A"</f>
        <v>22680-6N20A</v>
      </c>
      <c r="B2221" t="str">
        <f>"Датчик обьема воздуш"</f>
        <v>Датчик обьема воздуш</v>
      </c>
      <c r="C2221">
        <v>3</v>
      </c>
      <c r="D2221">
        <v>12182.472</v>
      </c>
    </row>
    <row r="2222" spans="1:4">
      <c r="A2222" t="str">
        <f>"22680-6N21A"</f>
        <v>22680-6N21A</v>
      </c>
      <c r="B2222" t="str">
        <f>"Датчик обьема воздуш"</f>
        <v>Датчик обьема воздуш</v>
      </c>
      <c r="C2222">
        <v>71</v>
      </c>
      <c r="D2222">
        <v>4218.3119999999999</v>
      </c>
    </row>
    <row r="2223" spans="1:4">
      <c r="A2223" t="str">
        <f>"22680-7F425"</f>
        <v>22680-7F425</v>
      </c>
      <c r="B2223" t="str">
        <f>"MASS AIR FLOW"</f>
        <v>MASS AIR FLOW</v>
      </c>
      <c r="C2223">
        <v>3</v>
      </c>
      <c r="D2223">
        <v>7597.3680000000004</v>
      </c>
    </row>
    <row r="2224" spans="1:4">
      <c r="A2224" t="str">
        <f>"22680-7S00A"</f>
        <v>22680-7S00A</v>
      </c>
      <c r="B2224" t="str">
        <f>"Датчик обьема воздуш"</f>
        <v>Датчик обьема воздуш</v>
      </c>
      <c r="C2224">
        <v>0</v>
      </c>
      <c r="D2224">
        <v>6505.56</v>
      </c>
    </row>
    <row r="2225" spans="1:4">
      <c r="A2225" t="str">
        <f>"22680-AD21A"</f>
        <v>22680-AD21A</v>
      </c>
      <c r="B2225" t="str">
        <f>"Датчик обьема воздуш"</f>
        <v>Датчик обьема воздуш</v>
      </c>
      <c r="C2225">
        <v>0</v>
      </c>
      <c r="D2225">
        <v>4343.5679999999993</v>
      </c>
    </row>
    <row r="2226" spans="1:4">
      <c r="A2226" t="str">
        <f>"22680-AR20A"</f>
        <v>22680-AR20A</v>
      </c>
      <c r="B2226" t="str">
        <f>"Датчик обьема воздуш"</f>
        <v>Датчик обьема воздуш</v>
      </c>
      <c r="C2226">
        <v>4</v>
      </c>
      <c r="D2226">
        <v>15307.751999999999</v>
      </c>
    </row>
    <row r="2227" spans="1:4">
      <c r="A2227" t="str">
        <f>"22680-AW400"</f>
        <v>22680-AW400</v>
      </c>
      <c r="B2227" t="str">
        <f>"METER-AIR FLOW"</f>
        <v>METER-AIR FLOW</v>
      </c>
      <c r="C2227">
        <v>2</v>
      </c>
      <c r="D2227">
        <v>9814.848</v>
      </c>
    </row>
    <row r="2228" spans="1:4">
      <c r="A2228" t="str">
        <f>"22680-CA000"</f>
        <v>22680-CA000</v>
      </c>
      <c r="B2228" t="str">
        <f>"METER-AIR FLOW"</f>
        <v>METER-AIR FLOW</v>
      </c>
      <c r="C2228">
        <v>3</v>
      </c>
      <c r="D2228">
        <v>9889.92</v>
      </c>
    </row>
    <row r="2229" spans="1:4">
      <c r="A2229" t="str">
        <f>"22690-0W001"</f>
        <v>22690-0W001</v>
      </c>
      <c r="B2229" t="str">
        <f>"SENSOR ASSY-O2"</f>
        <v>SENSOR ASSY-O2</v>
      </c>
      <c r="C2229">
        <v>3</v>
      </c>
      <c r="D2229">
        <v>3417</v>
      </c>
    </row>
    <row r="2230" spans="1:4">
      <c r="A2230" t="str">
        <f>"22690-2A000"</f>
        <v>22690-2A000</v>
      </c>
      <c r="B2230" t="str">
        <f>"SENSOR ASSY-O2"</f>
        <v>SENSOR ASSY-O2</v>
      </c>
      <c r="C2230">
        <v>9</v>
      </c>
      <c r="D2230">
        <v>3135.8879999999995</v>
      </c>
    </row>
    <row r="2231" spans="1:4">
      <c r="A2231" t="str">
        <f>"22690-2A010"</f>
        <v>22690-2A010</v>
      </c>
      <c r="B2231" t="str">
        <f>"Датчик кислорода (ля"</f>
        <v>Датчик кислорода (ля</v>
      </c>
      <c r="C2231">
        <v>3</v>
      </c>
      <c r="D2231">
        <v>3214.2239999999997</v>
      </c>
    </row>
    <row r="2232" spans="1:4">
      <c r="A2232" t="str">
        <f>"22690-2Y021"</f>
        <v>22690-2Y021</v>
      </c>
      <c r="B2232" t="str">
        <f>"Датчик кислорода (ля"</f>
        <v>Датчик кислорода (ля</v>
      </c>
      <c r="C2232">
        <v>3</v>
      </c>
      <c r="D2232">
        <v>3654.4560000000001</v>
      </c>
    </row>
    <row r="2233" spans="1:4">
      <c r="A2233" t="str">
        <f>"22690-2Y921"</f>
        <v>22690-2Y921</v>
      </c>
      <c r="B2233" t="str">
        <f>"SENSOR ASSY-O2"</f>
        <v>SENSOR ASSY-O2</v>
      </c>
      <c r="C2233">
        <v>17</v>
      </c>
      <c r="D2233">
        <v>3183.6239999999998</v>
      </c>
    </row>
    <row r="2234" spans="1:4">
      <c r="A2234" t="str">
        <f>"22690-40U06"</f>
        <v>22690-40U06</v>
      </c>
      <c r="B2234" t="str">
        <f>"SENSOR ASSY-O2"</f>
        <v>SENSOR ASSY-O2</v>
      </c>
      <c r="C2234">
        <v>5</v>
      </c>
      <c r="D2234">
        <v>3455.76</v>
      </c>
    </row>
    <row r="2235" spans="1:4">
      <c r="A2235" t="str">
        <f>"22690-40U16"</f>
        <v>22690-40U16</v>
      </c>
      <c r="B2235" t="str">
        <f>"SENSOR ASSY-O2"</f>
        <v>SENSOR ASSY-O2</v>
      </c>
      <c r="C2235">
        <v>6</v>
      </c>
      <c r="D2235">
        <v>3449.64</v>
      </c>
    </row>
    <row r="2236" spans="1:4">
      <c r="A2236" t="str">
        <f>"22690-64J01"</f>
        <v>22690-64J01</v>
      </c>
      <c r="B2236" t="str">
        <f>"SENSOR ASSY-O2"</f>
        <v>SENSOR ASSY-O2</v>
      </c>
      <c r="C2236">
        <v>2</v>
      </c>
      <c r="D2236">
        <v>3034.7040000000002</v>
      </c>
    </row>
    <row r="2237" spans="1:4">
      <c r="A2237" t="str">
        <f>"22690-6N206"</f>
        <v>22690-6N206</v>
      </c>
      <c r="B2237" t="str">
        <f>"Датчик кислорода (ля"</f>
        <v>Датчик кислорода (ля</v>
      </c>
      <c r="C2237">
        <v>15</v>
      </c>
      <c r="D2237">
        <v>3293.3759999999997</v>
      </c>
    </row>
    <row r="2238" spans="1:4">
      <c r="A2238" t="str">
        <f>"22690-7J500"</f>
        <v>22690-7J500</v>
      </c>
      <c r="B2238" t="str">
        <f>"HEATED OXYGEN S"</f>
        <v>HEATED OXYGEN S</v>
      </c>
      <c r="C2238">
        <v>6</v>
      </c>
      <c r="D2238">
        <v>4403.5439999999999</v>
      </c>
    </row>
    <row r="2239" spans="1:4">
      <c r="A2239" t="str">
        <f>"22690-95F0A"</f>
        <v>22690-95F0A</v>
      </c>
      <c r="B2239" t="str">
        <f>"Датчик кислорода"</f>
        <v>Датчик кислорода</v>
      </c>
      <c r="C2239">
        <v>2</v>
      </c>
      <c r="D2239">
        <v>3305.2080000000001</v>
      </c>
    </row>
    <row r="2240" spans="1:4">
      <c r="A2240" t="str">
        <f>"22690-95F0B"</f>
        <v>22690-95F0B</v>
      </c>
      <c r="B2240" t="str">
        <f>"Датчик кислорода"</f>
        <v>Датчик кислорода</v>
      </c>
      <c r="C2240">
        <v>2</v>
      </c>
      <c r="D2240">
        <v>3319.08</v>
      </c>
    </row>
    <row r="2241" spans="1:4">
      <c r="A2241" t="str">
        <f>"22690-9F600"</f>
        <v>22690-9F600</v>
      </c>
      <c r="B2241" t="str">
        <f>"HEATED OXYGEN S"</f>
        <v>HEATED OXYGEN S</v>
      </c>
      <c r="C2241">
        <v>2</v>
      </c>
      <c r="D2241">
        <v>4405.5839999999998</v>
      </c>
    </row>
    <row r="2242" spans="1:4">
      <c r="A2242" t="str">
        <f>"22690-9F601"</f>
        <v>22690-9F601</v>
      </c>
      <c r="B2242" t="str">
        <f>"HEATED OXYGEN S"</f>
        <v>HEATED OXYGEN S</v>
      </c>
      <c r="C2242">
        <v>8</v>
      </c>
      <c r="D2242">
        <v>3767.88</v>
      </c>
    </row>
    <row r="2243" spans="1:4">
      <c r="A2243" t="str">
        <f>"22690-9S200"</f>
        <v>22690-9S200</v>
      </c>
      <c r="B2243" t="str">
        <f>"Датчик кислорода (ля"</f>
        <v>Датчик кислорода (ля</v>
      </c>
      <c r="C2243">
        <v>8</v>
      </c>
      <c r="D2243">
        <v>3292.9679999999998</v>
      </c>
    </row>
    <row r="2244" spans="1:4">
      <c r="A2244" t="str">
        <f>"22690-AL600"</f>
        <v>22690-AL600</v>
      </c>
      <c r="B2244" t="str">
        <f>"Датчик кислорода (ля"</f>
        <v>Датчик кислорода (ля</v>
      </c>
      <c r="C2244">
        <v>0</v>
      </c>
      <c r="D2244">
        <v>3175.8719999999998</v>
      </c>
    </row>
    <row r="2245" spans="1:4">
      <c r="A2245" t="str">
        <f>"22690-AN210"</f>
        <v>22690-AN210</v>
      </c>
      <c r="B2245" t="str">
        <f>"SENSOR ASSY-O2"</f>
        <v>SENSOR ASSY-O2</v>
      </c>
      <c r="C2245">
        <v>4</v>
      </c>
      <c r="D2245">
        <v>3432.5039999999999</v>
      </c>
    </row>
    <row r="2246" spans="1:4">
      <c r="A2246" t="str">
        <f>"22690-AN215"</f>
        <v>22690-AN215</v>
      </c>
      <c r="B2246" t="str">
        <f>"SENSOR ASSY-O2"</f>
        <v>SENSOR ASSY-O2</v>
      </c>
      <c r="C2246">
        <v>5</v>
      </c>
      <c r="D2246">
        <v>3484.3199999999997</v>
      </c>
    </row>
    <row r="2247" spans="1:4">
      <c r="A2247" t="str">
        <f>"22690-AX000"</f>
        <v>22690-AX000</v>
      </c>
      <c r="B2247" t="str">
        <f>"Датчик кислорода (ля"</f>
        <v>Датчик кислорода (ля</v>
      </c>
      <c r="C2247">
        <v>32</v>
      </c>
      <c r="D2247">
        <v>3173.8319999999999</v>
      </c>
    </row>
    <row r="2248" spans="1:4">
      <c r="A2248" t="str">
        <f>"22690-ED000"</f>
        <v>22690-ED000</v>
      </c>
      <c r="B2248" t="str">
        <f>"Датчик кислорода (ля"</f>
        <v>Датчик кислорода (ля</v>
      </c>
      <c r="C2248">
        <v>18</v>
      </c>
      <c r="D2248">
        <v>3173.8319999999999</v>
      </c>
    </row>
    <row r="2249" spans="1:4">
      <c r="A2249" t="str">
        <f>"22690-EN200"</f>
        <v>22690-EN200</v>
      </c>
      <c r="B2249" t="str">
        <f>"Датчик кислорода (ля"</f>
        <v>Датчик кислорода (ля</v>
      </c>
      <c r="C2249">
        <v>9</v>
      </c>
      <c r="D2249">
        <v>3119.9760000000001</v>
      </c>
    </row>
    <row r="2250" spans="1:4">
      <c r="A2250" t="str">
        <f>"22690-VC700"</f>
        <v>22690-VC700</v>
      </c>
      <c r="B2250" t="str">
        <f>"Датчик кислорода (ля"</f>
        <v>Датчик кислорода (ля</v>
      </c>
      <c r="C2250">
        <v>5</v>
      </c>
      <c r="D2250">
        <v>3323.9760000000001</v>
      </c>
    </row>
    <row r="2251" spans="1:4">
      <c r="A2251" t="str">
        <f>"22691-0W003"</f>
        <v>22691-0W003</v>
      </c>
      <c r="B2251" t="str">
        <f>"SENSOR ASSY-O2"</f>
        <v>SENSOR ASSY-O2</v>
      </c>
      <c r="C2251">
        <v>0</v>
      </c>
      <c r="D2251">
        <v>3206.0639999999999</v>
      </c>
    </row>
    <row r="2252" spans="1:4">
      <c r="A2252" t="str">
        <f>"22691-3Y101"</f>
        <v>22691-3Y101</v>
      </c>
      <c r="B2252" t="str">
        <f>"SENSOR ASSY-O2"</f>
        <v>SENSOR ASSY-O2</v>
      </c>
      <c r="C2252">
        <v>14</v>
      </c>
      <c r="D2252">
        <v>3090.6</v>
      </c>
    </row>
    <row r="2253" spans="1:4">
      <c r="A2253" t="str">
        <f>"22691-4W003"</f>
        <v>22691-4W003</v>
      </c>
      <c r="B2253" t="str">
        <f>"SENSOR ASSY-O2"</f>
        <v>SENSOR ASSY-O2</v>
      </c>
      <c r="C2253">
        <v>0</v>
      </c>
      <c r="D2253">
        <v>3470.8560000000002</v>
      </c>
    </row>
    <row r="2254" spans="1:4">
      <c r="A2254" t="str">
        <f>"22691-6N206"</f>
        <v>22691-6N206</v>
      </c>
      <c r="B2254" t="str">
        <f t="shared" ref="B2254:B2259" si="38">"Датчик кислорода (ля"</f>
        <v>Датчик кислорода (ля</v>
      </c>
      <c r="C2254">
        <v>5</v>
      </c>
      <c r="D2254">
        <v>3261.5520000000001</v>
      </c>
    </row>
    <row r="2255" spans="1:4">
      <c r="A2255" t="str">
        <f>"22691-VC700"</f>
        <v>22691-VC700</v>
      </c>
      <c r="B2255" t="str">
        <f t="shared" si="38"/>
        <v>Датчик кислорода (ля</v>
      </c>
      <c r="C2255">
        <v>6</v>
      </c>
      <c r="D2255">
        <v>3259.5120000000002</v>
      </c>
    </row>
    <row r="2256" spans="1:4">
      <c r="A2256" t="str">
        <f>"22693-1AA0A"</f>
        <v>22693-1AA0A</v>
      </c>
      <c r="B2256" t="str">
        <f t="shared" si="38"/>
        <v>Датчик кислорода (ля</v>
      </c>
      <c r="C2256">
        <v>2</v>
      </c>
      <c r="D2256">
        <v>3004.1039999999998</v>
      </c>
    </row>
    <row r="2257" spans="1:4">
      <c r="A2257" t="str">
        <f>"22693-1NA0A"</f>
        <v>22693-1NA0A</v>
      </c>
      <c r="B2257" t="str">
        <f t="shared" si="38"/>
        <v>Датчик кислорода (ля</v>
      </c>
      <c r="C2257">
        <v>6</v>
      </c>
      <c r="D2257">
        <v>7745.8799999999992</v>
      </c>
    </row>
    <row r="2258" spans="1:4">
      <c r="A2258" t="str">
        <f>"22693-7S000"</f>
        <v>22693-7S000</v>
      </c>
      <c r="B2258" t="str">
        <f t="shared" si="38"/>
        <v>Датчик кислорода (ля</v>
      </c>
      <c r="C2258">
        <v>0</v>
      </c>
      <c r="D2258">
        <v>3439.4399999999996</v>
      </c>
    </row>
    <row r="2259" spans="1:4">
      <c r="A2259" t="str">
        <f>"22693-7Y020"</f>
        <v>22693-7Y020</v>
      </c>
      <c r="B2259" t="str">
        <f t="shared" si="38"/>
        <v>Датчик кислорода (ля</v>
      </c>
      <c r="C2259">
        <v>8</v>
      </c>
      <c r="D2259">
        <v>2429.64</v>
      </c>
    </row>
    <row r="2260" spans="1:4">
      <c r="A2260" t="str">
        <f>"22693-CD700"</f>
        <v>22693-CD700</v>
      </c>
      <c r="B2260" t="str">
        <f>"SENSOR ASSY-O2"</f>
        <v>SENSOR ASSY-O2</v>
      </c>
      <c r="C2260">
        <v>20</v>
      </c>
      <c r="D2260">
        <v>2862.12</v>
      </c>
    </row>
    <row r="2261" spans="1:4">
      <c r="A2261" t="str">
        <f>"22693-EY00B"</f>
        <v>22693-EY00B</v>
      </c>
      <c r="B2261" t="str">
        <f>"Датчик кислорода (ля"</f>
        <v>Датчик кислорода (ля</v>
      </c>
      <c r="C2261">
        <v>3</v>
      </c>
      <c r="D2261">
        <v>7444.3680000000004</v>
      </c>
    </row>
    <row r="2262" spans="1:4">
      <c r="A2262" t="str">
        <f>"22693-JA00B"</f>
        <v>22693-JA00B</v>
      </c>
      <c r="B2262" t="str">
        <f>"Датчик кислорода (ля"</f>
        <v>Датчик кислорода (ля</v>
      </c>
      <c r="C2262">
        <v>0</v>
      </c>
      <c r="D2262">
        <v>8525.16</v>
      </c>
    </row>
    <row r="2263" spans="1:4">
      <c r="A2263" t="str">
        <f>"22693-ZE00A"</f>
        <v>22693-ZE00A</v>
      </c>
      <c r="B2263" t="str">
        <f>"Датчик кислорода (ля"</f>
        <v>Датчик кислорода (ля</v>
      </c>
      <c r="C2263">
        <v>4</v>
      </c>
      <c r="D2263">
        <v>7745.8799999999992</v>
      </c>
    </row>
    <row r="2264" spans="1:4">
      <c r="A2264" t="str">
        <f>"226A0-0W012"</f>
        <v>226A0-0W012</v>
      </c>
      <c r="B2264" t="str">
        <f>"SENSOR ASSY-O2"</f>
        <v>SENSOR ASSY-O2</v>
      </c>
      <c r="C2264">
        <v>0</v>
      </c>
      <c r="D2264">
        <v>3412.1039999999998</v>
      </c>
    </row>
    <row r="2265" spans="1:4">
      <c r="A2265" t="str">
        <f>"226A0-4L713"</f>
        <v>226A0-4L713</v>
      </c>
      <c r="B2265" t="str">
        <f>"SENSOR ASSY-O2"</f>
        <v>SENSOR ASSY-O2</v>
      </c>
      <c r="C2265">
        <v>7</v>
      </c>
      <c r="D2265">
        <v>3094.68</v>
      </c>
    </row>
    <row r="2266" spans="1:4">
      <c r="A2266" t="str">
        <f>"226A0-5M501"</f>
        <v>226A0-5M501</v>
      </c>
      <c r="B2266" t="str">
        <f>"SENSOR ASSY-O2"</f>
        <v>SENSOR ASSY-O2</v>
      </c>
      <c r="C2266">
        <v>4</v>
      </c>
      <c r="D2266">
        <v>2998.3919999999998</v>
      </c>
    </row>
    <row r="2267" spans="1:4">
      <c r="A2267" t="str">
        <f>"226A0-6N161"</f>
        <v>226A0-6N161</v>
      </c>
      <c r="B2267" t="str">
        <f>"SENSOR ASSY-O2"</f>
        <v>SENSOR ASSY-O2</v>
      </c>
      <c r="C2267">
        <v>4</v>
      </c>
      <c r="D2267">
        <v>3574.8959999999997</v>
      </c>
    </row>
    <row r="2268" spans="1:4">
      <c r="A2268" t="str">
        <f>"226A0-7J601"</f>
        <v>226A0-7J601</v>
      </c>
      <c r="B2268" t="str">
        <f>"HEATED OXYGEN S"</f>
        <v>HEATED OXYGEN S</v>
      </c>
      <c r="C2268">
        <v>1</v>
      </c>
      <c r="D2268">
        <v>4465.5600000000004</v>
      </c>
    </row>
    <row r="2269" spans="1:4">
      <c r="A2269" t="str">
        <f>"226A0-8J001"</f>
        <v>226A0-8J001</v>
      </c>
      <c r="B2269" t="str">
        <f>"SENSOR ASSY-O2"</f>
        <v>SENSOR ASSY-O2</v>
      </c>
      <c r="C2269">
        <v>15</v>
      </c>
      <c r="D2269">
        <v>3134.2559999999999</v>
      </c>
    </row>
    <row r="2270" spans="1:4">
      <c r="A2270" t="str">
        <f>"226A0-8U300"</f>
        <v>226A0-8U300</v>
      </c>
      <c r="B2270" t="str">
        <f>"Датчик кислорода (ля"</f>
        <v>Датчик кислорода (ля</v>
      </c>
      <c r="C2270">
        <v>15</v>
      </c>
      <c r="D2270">
        <v>2351.712</v>
      </c>
    </row>
    <row r="2271" spans="1:4">
      <c r="A2271" t="str">
        <f>"226A0-AM601"</f>
        <v>226A0-AM601</v>
      </c>
      <c r="B2271" t="str">
        <f>"Датчик кислорода (ля"</f>
        <v>Датчик кислорода (ля</v>
      </c>
      <c r="C2271">
        <v>9</v>
      </c>
      <c r="D2271">
        <v>3248.904</v>
      </c>
    </row>
    <row r="2272" spans="1:4">
      <c r="A2272" t="str">
        <f>"226A0-AU011"</f>
        <v>226A0-AU011</v>
      </c>
      <c r="B2272" t="str">
        <f>"SENSOR ASSY-O2"</f>
        <v>SENSOR ASSY-O2</v>
      </c>
      <c r="C2272">
        <v>9</v>
      </c>
      <c r="D2272">
        <v>3125.28</v>
      </c>
    </row>
    <row r="2273" spans="1:4">
      <c r="A2273" t="str">
        <f>"226A0-AU301"</f>
        <v>226A0-AU301</v>
      </c>
      <c r="B2273" t="str">
        <f>"SENSOR ASSY-O2"</f>
        <v>SENSOR ASSY-O2</v>
      </c>
      <c r="C2273">
        <v>2</v>
      </c>
      <c r="D2273">
        <v>3322.3439999999996</v>
      </c>
    </row>
    <row r="2274" spans="1:4">
      <c r="A2274" t="str">
        <f>"226A0-EA200"</f>
        <v>226A0-EA200</v>
      </c>
      <c r="B2274" t="str">
        <f>"Датчик кислорода (ля"</f>
        <v>Датчик кислорода (ля</v>
      </c>
      <c r="C2274">
        <v>8</v>
      </c>
      <c r="D2274">
        <v>2465.5439999999999</v>
      </c>
    </row>
    <row r="2275" spans="1:4">
      <c r="A2275" t="str">
        <f>"226A0-EA210"</f>
        <v>226A0-EA210</v>
      </c>
      <c r="B2275" t="str">
        <f>"Датчик кислорода (ля"</f>
        <v>Датчик кислорода (ля</v>
      </c>
      <c r="C2275">
        <v>8</v>
      </c>
      <c r="D2275">
        <v>2430.0479999999998</v>
      </c>
    </row>
    <row r="2276" spans="1:4">
      <c r="A2276" t="str">
        <f>"226A0-EN21A"</f>
        <v>226A0-EN21A</v>
      </c>
      <c r="B2276" t="str">
        <f>"Датчик кислорода (ля"</f>
        <v>Датчик кислорода (ля</v>
      </c>
      <c r="C2276">
        <v>7</v>
      </c>
      <c r="D2276">
        <v>2483.0879999999997</v>
      </c>
    </row>
    <row r="2277" spans="1:4">
      <c r="A2277" t="str">
        <f>"226A0-ET000"</f>
        <v>226A0-ET000</v>
      </c>
      <c r="B2277" t="str">
        <f>"Датчик кислорода (ля"</f>
        <v>Датчик кислорода (ля</v>
      </c>
      <c r="C2277">
        <v>6</v>
      </c>
      <c r="D2277">
        <v>2465.5439999999999</v>
      </c>
    </row>
    <row r="2278" spans="1:4">
      <c r="A2278" t="str">
        <f>"226A0-JA10C"</f>
        <v>226A0-JA10C</v>
      </c>
      <c r="B2278" t="str">
        <f>"Датчик кислорода (ля"</f>
        <v>Датчик кислорода (ля</v>
      </c>
      <c r="C2278">
        <v>8</v>
      </c>
      <c r="D2278">
        <v>2363.9519999999998</v>
      </c>
    </row>
    <row r="2279" spans="1:4">
      <c r="A2279" t="str">
        <f>"226A0-VC700"</f>
        <v>226A0-VC700</v>
      </c>
      <c r="B2279" t="str">
        <f>"SENSOR ASSY-O2"</f>
        <v>SENSOR ASSY-O2</v>
      </c>
      <c r="C2279">
        <v>5</v>
      </c>
      <c r="D2279">
        <v>3265.2239999999997</v>
      </c>
    </row>
    <row r="2280" spans="1:4">
      <c r="A2280" t="str">
        <f>"226A1-0W004"</f>
        <v>226A1-0W004</v>
      </c>
      <c r="B2280" t="str">
        <f>"SENSOR ASSY-O2"</f>
        <v>SENSOR ASSY-O2</v>
      </c>
      <c r="C2280">
        <v>4</v>
      </c>
      <c r="D2280">
        <v>3575.712</v>
      </c>
    </row>
    <row r="2281" spans="1:4">
      <c r="A2281" t="str">
        <f>"226A1-4L715"</f>
        <v>226A1-4L715</v>
      </c>
      <c r="B2281" t="str">
        <f>"SENSOR ASSY-O2"</f>
        <v>SENSOR ASSY-O2</v>
      </c>
      <c r="C2281">
        <v>9</v>
      </c>
      <c r="D2281">
        <v>3128.136</v>
      </c>
    </row>
    <row r="2282" spans="1:4">
      <c r="A2282" t="str">
        <f>"226A1-4W011"</f>
        <v>226A1-4W011</v>
      </c>
      <c r="B2282" t="str">
        <f>"HEATED OXYGEN S"</f>
        <v>HEATED OXYGEN S</v>
      </c>
      <c r="C2282">
        <v>0</v>
      </c>
      <c r="D2282">
        <v>3322.3439999999996</v>
      </c>
    </row>
    <row r="2283" spans="1:4">
      <c r="A2283" t="str">
        <f>"226A1-AM601"</f>
        <v>226A1-AM601</v>
      </c>
      <c r="B2283" t="str">
        <f>"Датчик кислорода (ля"</f>
        <v>Датчик кислорода (ля</v>
      </c>
      <c r="C2283">
        <v>4</v>
      </c>
      <c r="D2283">
        <v>3186.48</v>
      </c>
    </row>
    <row r="2284" spans="1:4">
      <c r="A2284" t="str">
        <f>"226A1-AR210"</f>
        <v>226A1-AR210</v>
      </c>
      <c r="B2284" t="str">
        <f>"OXOGEN SENSOR"</f>
        <v>OXOGEN SENSOR</v>
      </c>
      <c r="C2284">
        <v>6</v>
      </c>
      <c r="D2284">
        <v>2465.5439999999999</v>
      </c>
    </row>
    <row r="2285" spans="1:4">
      <c r="A2285" t="str">
        <f>"226A1-VC700"</f>
        <v>226A1-VC700</v>
      </c>
      <c r="B2285" t="str">
        <f>"SENSOR ASSY-O2"</f>
        <v>SENSOR ASSY-O2</v>
      </c>
      <c r="C2285">
        <v>4</v>
      </c>
      <c r="D2285">
        <v>3206.4719999999998</v>
      </c>
    </row>
    <row r="2286" spans="1:4">
      <c r="A2286" t="str">
        <f>"23100-1AA1B"</f>
        <v>23100-1AA1B</v>
      </c>
      <c r="B2286" t="str">
        <f t="shared" ref="B2286:B2294" si="39">"Генератор"</f>
        <v>Генератор</v>
      </c>
      <c r="C2286">
        <v>4</v>
      </c>
      <c r="D2286">
        <v>22249.464</v>
      </c>
    </row>
    <row r="2287" spans="1:4">
      <c r="A2287" t="str">
        <f>"23100-2Y900-R"</f>
        <v>23100-2Y900-R</v>
      </c>
      <c r="B2287" t="str">
        <f t="shared" si="39"/>
        <v>Генератор</v>
      </c>
      <c r="C2287">
        <v>1</v>
      </c>
      <c r="D2287">
        <v>22746.407999999999</v>
      </c>
    </row>
    <row r="2288" spans="1:4">
      <c r="A2288" t="str">
        <f>"23100-AU00A"</f>
        <v>23100-AU00A</v>
      </c>
      <c r="B2288" t="str">
        <f t="shared" si="39"/>
        <v>Генератор</v>
      </c>
      <c r="C2288">
        <v>2</v>
      </c>
      <c r="D2288">
        <v>15670.055999999999</v>
      </c>
    </row>
    <row r="2289" spans="1:4">
      <c r="A2289" t="str">
        <f>"23100-AU40D"</f>
        <v>23100-AU40D</v>
      </c>
      <c r="B2289" t="str">
        <f t="shared" si="39"/>
        <v>Генератор</v>
      </c>
      <c r="C2289">
        <v>2</v>
      </c>
      <c r="D2289">
        <v>18495.047999999999</v>
      </c>
    </row>
    <row r="2290" spans="1:4">
      <c r="A2290" t="str">
        <f>"23100-BU00A"</f>
        <v>23100-BU00A</v>
      </c>
      <c r="B2290" t="str">
        <f t="shared" si="39"/>
        <v>Генератор</v>
      </c>
      <c r="C2290">
        <v>1</v>
      </c>
      <c r="D2290">
        <v>15206.159999999998</v>
      </c>
    </row>
    <row r="2291" spans="1:4">
      <c r="A2291" t="str">
        <f>"23100-CN10C"</f>
        <v>23100-CN10C</v>
      </c>
      <c r="B2291" t="str">
        <f t="shared" si="39"/>
        <v>Генератор</v>
      </c>
      <c r="C2291">
        <v>6</v>
      </c>
      <c r="D2291">
        <v>19964.664000000001</v>
      </c>
    </row>
    <row r="2292" spans="1:4">
      <c r="A2292" t="str">
        <f>"23100-EB31B"</f>
        <v>23100-EB31B</v>
      </c>
      <c r="B2292" t="str">
        <f t="shared" si="39"/>
        <v>Генератор</v>
      </c>
      <c r="C2292">
        <v>3</v>
      </c>
      <c r="D2292">
        <v>31712.207999999999</v>
      </c>
    </row>
    <row r="2293" spans="1:4">
      <c r="A2293" t="str">
        <f>"23100-EM01B-R"</f>
        <v>23100-EM01B-R</v>
      </c>
      <c r="B2293" t="str">
        <f t="shared" si="39"/>
        <v>Генератор</v>
      </c>
      <c r="C2293">
        <v>1</v>
      </c>
      <c r="D2293">
        <v>16116</v>
      </c>
    </row>
    <row r="2294" spans="1:4">
      <c r="A2294" t="str">
        <f>"23100-VC10C"</f>
        <v>23100-VC10C</v>
      </c>
      <c r="B2294" t="str">
        <f t="shared" si="39"/>
        <v>Генератор</v>
      </c>
      <c r="C2294">
        <v>7</v>
      </c>
      <c r="D2294">
        <v>21411.84</v>
      </c>
    </row>
    <row r="2295" spans="1:4">
      <c r="A2295" t="str">
        <f>"23120-22J20"</f>
        <v>23120-22J20</v>
      </c>
      <c r="B2295" t="str">
        <f>"BEARING-BALL"</f>
        <v>BEARING-BALL</v>
      </c>
      <c r="C2295">
        <v>9</v>
      </c>
      <c r="D2295">
        <v>519.79200000000003</v>
      </c>
    </row>
    <row r="2296" spans="1:4">
      <c r="A2296" t="str">
        <f>"23120-51E10"</f>
        <v>23120-51E10</v>
      </c>
      <c r="B2296" t="str">
        <f>"BEARING-BALL"</f>
        <v>BEARING-BALL</v>
      </c>
      <c r="C2296">
        <v>30</v>
      </c>
      <c r="D2296">
        <v>920.44799999999998</v>
      </c>
    </row>
    <row r="2297" spans="1:4">
      <c r="A2297" t="str">
        <f>"23120-58S01"</f>
        <v>23120-58S01</v>
      </c>
      <c r="B2297" t="str">
        <f>"BEARING-BALL"</f>
        <v>BEARING-BALL</v>
      </c>
      <c r="C2297">
        <v>32</v>
      </c>
      <c r="D2297">
        <v>553.65599999999995</v>
      </c>
    </row>
    <row r="2298" spans="1:4">
      <c r="A2298" t="str">
        <f>"23150-2W20A"</f>
        <v>23150-2W20A</v>
      </c>
      <c r="B2298" t="str">
        <f>"Шкив генератора"</f>
        <v>Шкив генератора</v>
      </c>
      <c r="C2298">
        <v>3</v>
      </c>
      <c r="D2298">
        <v>7051.4639999999999</v>
      </c>
    </row>
    <row r="2299" spans="1:4">
      <c r="A2299" t="str">
        <f>"23150-AG010"</f>
        <v>23150-AG010</v>
      </c>
      <c r="B2299" t="str">
        <f>"PULLEY ASSY"</f>
        <v>PULLEY ASSY</v>
      </c>
      <c r="C2299">
        <v>2</v>
      </c>
      <c r="D2299">
        <v>3224.0159999999996</v>
      </c>
    </row>
    <row r="2300" spans="1:4">
      <c r="A2300" t="str">
        <f>"23151-6N20B"</f>
        <v>23151-6N20B</v>
      </c>
      <c r="B2300" t="str">
        <f>"Шкив генератора"</f>
        <v>Шкив генератора</v>
      </c>
      <c r="C2300">
        <v>2</v>
      </c>
      <c r="D2300">
        <v>5707.92</v>
      </c>
    </row>
    <row r="2301" spans="1:4">
      <c r="A2301" t="str">
        <f>"23151-EB30A"</f>
        <v>23151-EB30A</v>
      </c>
      <c r="B2301" t="str">
        <f>"Шкив генератора"</f>
        <v>Шкив генератора</v>
      </c>
      <c r="C2301">
        <v>59</v>
      </c>
      <c r="D2301">
        <v>6079.6080000000002</v>
      </c>
    </row>
    <row r="2302" spans="1:4">
      <c r="A2302" t="str">
        <f>"23300-0M30A"</f>
        <v>23300-0M30A</v>
      </c>
      <c r="B2302" t="str">
        <f t="shared" ref="B2302:B2309" si="40">"Стартер"</f>
        <v>Стартер</v>
      </c>
      <c r="C2302">
        <v>12</v>
      </c>
      <c r="D2302">
        <v>12938.088</v>
      </c>
    </row>
    <row r="2303" spans="1:4">
      <c r="A2303" t="str">
        <f>"23300-2Y90A"</f>
        <v>23300-2Y90A</v>
      </c>
      <c r="B2303" t="str">
        <f t="shared" si="40"/>
        <v>Стартер</v>
      </c>
      <c r="C2303">
        <v>4</v>
      </c>
      <c r="D2303">
        <v>13919.328</v>
      </c>
    </row>
    <row r="2304" spans="1:4">
      <c r="A2304" t="str">
        <f>"23300-6N20B"</f>
        <v>23300-6N20B</v>
      </c>
      <c r="B2304" t="str">
        <f t="shared" si="40"/>
        <v>Стартер</v>
      </c>
      <c r="C2304">
        <v>6</v>
      </c>
      <c r="D2304">
        <v>15969.936</v>
      </c>
    </row>
    <row r="2305" spans="1:4">
      <c r="A2305" t="str">
        <f>"23300-8H30A"</f>
        <v>23300-8H30A</v>
      </c>
      <c r="B2305" t="str">
        <f t="shared" si="40"/>
        <v>Стартер</v>
      </c>
      <c r="C2305">
        <v>6</v>
      </c>
      <c r="D2305">
        <v>15857.736000000001</v>
      </c>
    </row>
    <row r="2306" spans="1:4">
      <c r="A2306" t="str">
        <f>"23300-CG00A"</f>
        <v>23300-CG00A</v>
      </c>
      <c r="B2306" t="str">
        <f t="shared" si="40"/>
        <v>Стартер</v>
      </c>
      <c r="C2306">
        <v>7</v>
      </c>
      <c r="D2306">
        <v>15940.559999999998</v>
      </c>
    </row>
    <row r="2307" spans="1:4">
      <c r="A2307" t="str">
        <f>"23300-EN200-R"</f>
        <v>23300-EN200-R</v>
      </c>
      <c r="B2307" t="str">
        <f t="shared" si="40"/>
        <v>Стартер</v>
      </c>
      <c r="C2307">
        <v>2</v>
      </c>
      <c r="D2307">
        <v>11610.864</v>
      </c>
    </row>
    <row r="2308" spans="1:4">
      <c r="A2308" t="str">
        <f>"23300-VC11B"</f>
        <v>23300-VC11B</v>
      </c>
      <c r="B2308" t="str">
        <f t="shared" si="40"/>
        <v>Стартер</v>
      </c>
      <c r="C2308">
        <v>4</v>
      </c>
      <c r="D2308">
        <v>19573.8</v>
      </c>
    </row>
    <row r="2309" spans="1:4">
      <c r="A2309" t="str">
        <f>"23300-VC20A"</f>
        <v>23300-VC20A</v>
      </c>
      <c r="B2309" t="str">
        <f t="shared" si="40"/>
        <v>Стартер</v>
      </c>
      <c r="C2309">
        <v>4</v>
      </c>
      <c r="D2309">
        <v>15091.511999999999</v>
      </c>
    </row>
    <row r="2310" spans="1:4">
      <c r="A2310" t="str">
        <f>"23312-0M30A"</f>
        <v>23312-0M30A</v>
      </c>
      <c r="B2310" t="str">
        <f>"Шестерня стартера (б"</f>
        <v>Шестерня стартера (б</v>
      </c>
      <c r="C2310">
        <v>4</v>
      </c>
      <c r="D2310">
        <v>3350.0879999999997</v>
      </c>
    </row>
    <row r="2311" spans="1:4">
      <c r="A2311" t="str">
        <f>"23312-EN20A"</f>
        <v>23312-EN20A</v>
      </c>
      <c r="B2311" t="str">
        <f>"Вал стартера"</f>
        <v>Вал стартера</v>
      </c>
      <c r="C2311">
        <v>1</v>
      </c>
      <c r="D2311">
        <v>7054.7279999999992</v>
      </c>
    </row>
    <row r="2312" spans="1:4">
      <c r="A2312" t="str">
        <f>"23343-0M30A"</f>
        <v>23343-0M30A</v>
      </c>
      <c r="B2312" t="str">
        <f>"Втягивающее реле ста"</f>
        <v>Втягивающее реле ста</v>
      </c>
      <c r="C2312">
        <v>2</v>
      </c>
      <c r="D2312">
        <v>3071.0159999999996</v>
      </c>
    </row>
    <row r="2313" spans="1:4">
      <c r="A2313" t="str">
        <f>"23343-2F000"</f>
        <v>23343-2F000</v>
      </c>
      <c r="B2313" t="str">
        <f>"COVER-TERMINAL"</f>
        <v>COVER-TERMINAL</v>
      </c>
      <c r="C2313">
        <v>0</v>
      </c>
      <c r="D2313">
        <v>2377.0079999999998</v>
      </c>
    </row>
    <row r="2314" spans="1:4">
      <c r="A2314" t="str">
        <f>"23343-EB30B"</f>
        <v>23343-EB30B</v>
      </c>
      <c r="B2314" t="str">
        <f>"Втягивающее реле ста"</f>
        <v>Втягивающее реле ста</v>
      </c>
      <c r="C2314">
        <v>1</v>
      </c>
      <c r="D2314">
        <v>3130.1759999999999</v>
      </c>
    </row>
    <row r="2315" spans="1:4">
      <c r="A2315" t="str">
        <f>"23378-0M210"</f>
        <v>23378-0M210</v>
      </c>
      <c r="B2315" t="str">
        <f>"HOLDER BRUSH"</f>
        <v>HOLDER BRUSH</v>
      </c>
      <c r="C2315">
        <v>1</v>
      </c>
      <c r="D2315">
        <v>1509.6</v>
      </c>
    </row>
    <row r="2316" spans="1:4">
      <c r="A2316" t="str">
        <f>"23378-AM60A"</f>
        <v>23378-AM60A</v>
      </c>
      <c r="B2316" t="str">
        <f>"Щеточный узел старте"</f>
        <v>Щеточный узел старте</v>
      </c>
      <c r="C2316">
        <v>7</v>
      </c>
      <c r="D2316">
        <v>1715.64</v>
      </c>
    </row>
    <row r="2317" spans="1:4">
      <c r="A2317" t="str">
        <f>"23378-EN20A"</f>
        <v>23378-EN20A</v>
      </c>
      <c r="B2317" t="str">
        <f>"Щеточный узел старте"</f>
        <v>Щеточный узел старте</v>
      </c>
      <c r="C2317">
        <v>29</v>
      </c>
      <c r="D2317">
        <v>1312.1279999999999</v>
      </c>
    </row>
    <row r="2318" spans="1:4">
      <c r="A2318" t="str">
        <f>"23379-0M300"</f>
        <v>23379-0M300</v>
      </c>
      <c r="B2318" t="str">
        <f>"BRUSH-MINUS"</f>
        <v>BRUSH-MINUS</v>
      </c>
      <c r="C2318">
        <v>16</v>
      </c>
      <c r="D2318">
        <v>244.392</v>
      </c>
    </row>
    <row r="2319" spans="1:4">
      <c r="A2319" t="str">
        <f>"23380-0M210"</f>
        <v>23380-0M210</v>
      </c>
      <c r="B2319" t="str">
        <f>"BRUSH-PLUS"</f>
        <v>BRUSH-PLUS</v>
      </c>
      <c r="C2319">
        <v>11</v>
      </c>
      <c r="D2319">
        <v>291.71999999999997</v>
      </c>
    </row>
    <row r="2320" spans="1:4">
      <c r="A2320" t="str">
        <f>"23380-0M300"</f>
        <v>23380-0M300</v>
      </c>
      <c r="B2320" t="str">
        <f>"BRUSH-PLUS"</f>
        <v>BRUSH-PLUS</v>
      </c>
      <c r="C2320">
        <v>11</v>
      </c>
      <c r="D2320">
        <v>496.53599999999994</v>
      </c>
    </row>
    <row r="2321" spans="1:4">
      <c r="A2321" t="str">
        <f>"23710-85P75"</f>
        <v>23710-85P75</v>
      </c>
      <c r="B2321" t="str">
        <f>"Блок управления двиг"</f>
        <v>Блок управления двиг</v>
      </c>
      <c r="C2321">
        <v>1</v>
      </c>
      <c r="D2321">
        <v>57703.439999999995</v>
      </c>
    </row>
    <row r="2322" spans="1:4">
      <c r="A2322" t="str">
        <f>"23710-VD21A"</f>
        <v>23710-VD21A</v>
      </c>
      <c r="B2322" t="str">
        <f>"Блок управления"</f>
        <v>Блок управления</v>
      </c>
      <c r="C2322">
        <v>3</v>
      </c>
      <c r="D2322">
        <v>26112</v>
      </c>
    </row>
    <row r="2323" spans="1:4">
      <c r="A2323" t="str">
        <f>"23731-1S700"</f>
        <v>23731-1S700</v>
      </c>
      <c r="B2323" t="str">
        <f>"SENSOR ASSY"</f>
        <v>SENSOR ASSY</v>
      </c>
      <c r="C2323">
        <v>10</v>
      </c>
      <c r="D2323">
        <v>1910.664</v>
      </c>
    </row>
    <row r="2324" spans="1:4">
      <c r="A2324" t="str">
        <f>"23731-2J615"</f>
        <v>23731-2J615</v>
      </c>
      <c r="B2324" t="str">
        <f>"SENSOR ASSY"</f>
        <v>SENSOR ASSY</v>
      </c>
      <c r="C2324">
        <v>13</v>
      </c>
      <c r="D2324">
        <v>2399.8560000000002</v>
      </c>
    </row>
    <row r="2325" spans="1:4">
      <c r="A2325" t="str">
        <f>"23731-2Y510"</f>
        <v>23731-2Y510</v>
      </c>
      <c r="B2325" t="str">
        <f>"CAMSHAFT POSITI"</f>
        <v>CAMSHAFT POSITI</v>
      </c>
      <c r="C2325">
        <v>5</v>
      </c>
      <c r="D2325">
        <v>2290.1039999999998</v>
      </c>
    </row>
    <row r="2326" spans="1:4">
      <c r="A2326" t="str">
        <f>"23731-2Y52A"</f>
        <v>23731-2Y52A</v>
      </c>
      <c r="B2326" t="str">
        <f>"Датчик положения вал"</f>
        <v>Датчик положения вал</v>
      </c>
      <c r="C2326">
        <v>7</v>
      </c>
      <c r="D2326">
        <v>1769.904</v>
      </c>
    </row>
    <row r="2327" spans="1:4">
      <c r="A2327" t="str">
        <f>"23731-31U11"</f>
        <v>23731-31U11</v>
      </c>
      <c r="B2327" t="str">
        <f>"CRANKSHAFT"</f>
        <v>CRANKSHAFT</v>
      </c>
      <c r="C2327">
        <v>5</v>
      </c>
      <c r="D2327">
        <v>1773.576</v>
      </c>
    </row>
    <row r="2328" spans="1:4">
      <c r="A2328" t="str">
        <f>"23731-35U11"</f>
        <v>23731-35U11</v>
      </c>
      <c r="B2328" t="str">
        <f>"CRANKSHAFT"</f>
        <v>CRANKSHAFT</v>
      </c>
      <c r="C2328">
        <v>19</v>
      </c>
      <c r="D2328">
        <v>3111.8159999999998</v>
      </c>
    </row>
    <row r="2329" spans="1:4">
      <c r="A2329" t="str">
        <f>"23731-38U12"</f>
        <v>23731-38U12</v>
      </c>
      <c r="B2329" t="str">
        <f>"SENSOR A-CRANK"</f>
        <v>SENSOR A-CRANK</v>
      </c>
      <c r="C2329">
        <v>14</v>
      </c>
      <c r="D2329">
        <v>2434.1280000000002</v>
      </c>
    </row>
    <row r="2330" spans="1:4">
      <c r="A2330" t="str">
        <f>"23731-4M50B"</f>
        <v>23731-4M50B</v>
      </c>
      <c r="B2330" t="str">
        <f t="shared" ref="B2330:B2342" si="41">"Датчик положения вал"</f>
        <v>Датчик положения вал</v>
      </c>
      <c r="C2330">
        <v>0</v>
      </c>
      <c r="D2330">
        <v>694.82399999999996</v>
      </c>
    </row>
    <row r="2331" spans="1:4">
      <c r="A2331" t="str">
        <f>"23731-6J96B"</f>
        <v>23731-6J96B</v>
      </c>
      <c r="B2331" t="str">
        <f t="shared" si="41"/>
        <v>Датчик положения вал</v>
      </c>
      <c r="C2331">
        <v>130</v>
      </c>
      <c r="D2331">
        <v>2159.9519999999998</v>
      </c>
    </row>
    <row r="2332" spans="1:4">
      <c r="A2332" t="str">
        <f>"23731-6N21A"</f>
        <v>23731-6N21A</v>
      </c>
      <c r="B2332" t="str">
        <f t="shared" si="41"/>
        <v>Датчик положения вал</v>
      </c>
      <c r="C2332">
        <v>0</v>
      </c>
      <c r="D2332">
        <v>1277.856</v>
      </c>
    </row>
    <row r="2333" spans="1:4">
      <c r="A2333" t="str">
        <f>"23731-95F0B"</f>
        <v>23731-95F0B</v>
      </c>
      <c r="B2333" t="str">
        <f t="shared" si="41"/>
        <v>Датчик положения вал</v>
      </c>
      <c r="C2333">
        <v>1</v>
      </c>
      <c r="D2333">
        <v>1337.8319999999999</v>
      </c>
    </row>
    <row r="2334" spans="1:4">
      <c r="A2334" t="str">
        <f>"23731-95F0D"</f>
        <v>23731-95F0D</v>
      </c>
      <c r="B2334" t="str">
        <f t="shared" si="41"/>
        <v>Датчик положения вал</v>
      </c>
      <c r="C2334">
        <v>0</v>
      </c>
      <c r="D2334">
        <v>1355.376</v>
      </c>
    </row>
    <row r="2335" spans="1:4">
      <c r="A2335" t="str">
        <f>"23731-AD200"</f>
        <v>23731-AD200</v>
      </c>
      <c r="B2335" t="str">
        <f t="shared" si="41"/>
        <v>Датчик положения вал</v>
      </c>
      <c r="C2335">
        <v>0</v>
      </c>
      <c r="D2335">
        <v>2157.5039999999999</v>
      </c>
    </row>
    <row r="2336" spans="1:4">
      <c r="A2336" t="str">
        <f>"23731-AL60C"</f>
        <v>23731-AL60C</v>
      </c>
      <c r="B2336" t="str">
        <f t="shared" si="41"/>
        <v>Датчик положения вал</v>
      </c>
      <c r="C2336">
        <v>1</v>
      </c>
      <c r="D2336">
        <v>1814.7839999999999</v>
      </c>
    </row>
    <row r="2337" spans="1:4">
      <c r="A2337" t="str">
        <f>"23731-AL61A"</f>
        <v>23731-AL61A</v>
      </c>
      <c r="B2337" t="str">
        <f t="shared" si="41"/>
        <v>Датчик положения вал</v>
      </c>
      <c r="C2337">
        <v>0</v>
      </c>
      <c r="D2337">
        <v>1773.576</v>
      </c>
    </row>
    <row r="2338" spans="1:4">
      <c r="A2338" t="str">
        <f>"23731-AW400"</f>
        <v>23731-AW400</v>
      </c>
      <c r="B2338" t="str">
        <f t="shared" si="41"/>
        <v>Датчик положения вал</v>
      </c>
      <c r="C2338">
        <v>16</v>
      </c>
      <c r="D2338">
        <v>1024.08</v>
      </c>
    </row>
    <row r="2339" spans="1:4">
      <c r="A2339" t="str">
        <f>"23731-EC00A"</f>
        <v>23731-EC00A</v>
      </c>
      <c r="B2339" t="str">
        <f t="shared" si="41"/>
        <v>Датчик положения вал</v>
      </c>
      <c r="C2339">
        <v>22</v>
      </c>
      <c r="D2339">
        <v>1054.2719999999999</v>
      </c>
    </row>
    <row r="2340" spans="1:4">
      <c r="A2340" t="str">
        <f>"23731-EC01A"</f>
        <v>23731-EC01A</v>
      </c>
      <c r="B2340" t="str">
        <f t="shared" si="41"/>
        <v>Датчик положения вал</v>
      </c>
      <c r="C2340">
        <v>12</v>
      </c>
      <c r="D2340">
        <v>1000.824</v>
      </c>
    </row>
    <row r="2341" spans="1:4">
      <c r="A2341" t="str">
        <f>"23731-EN22A"</f>
        <v>23731-EN22A</v>
      </c>
      <c r="B2341" t="str">
        <f t="shared" si="41"/>
        <v>Датчик положения вал</v>
      </c>
      <c r="C2341">
        <v>4</v>
      </c>
      <c r="D2341">
        <v>1389.6479999999999</v>
      </c>
    </row>
    <row r="2342" spans="1:4">
      <c r="A2342" t="str">
        <f>"23731-JA11B"</f>
        <v>23731-JA11B</v>
      </c>
      <c r="B2342" t="str">
        <f t="shared" si="41"/>
        <v>Датчик положения вал</v>
      </c>
      <c r="C2342">
        <v>2</v>
      </c>
      <c r="D2342">
        <v>2415.768</v>
      </c>
    </row>
    <row r="2343" spans="1:4">
      <c r="A2343" t="str">
        <f>"23731-VB100"</f>
        <v>23731-VB100</v>
      </c>
      <c r="B2343" t="str">
        <f>"SENSOR ASSY"</f>
        <v>SENSOR ASSY</v>
      </c>
      <c r="C2343">
        <v>9</v>
      </c>
      <c r="D2343">
        <v>1895.9759999999999</v>
      </c>
    </row>
    <row r="2344" spans="1:4">
      <c r="A2344" t="str">
        <f>"23731-WD000"</f>
        <v>23731-WD000</v>
      </c>
      <c r="B2344" t="str">
        <f>"Датчик положения вал"</f>
        <v>Датчик положения вал</v>
      </c>
      <c r="C2344">
        <v>8</v>
      </c>
      <c r="D2344">
        <v>1049.376</v>
      </c>
    </row>
    <row r="2345" spans="1:4">
      <c r="A2345" t="str">
        <f>"23750-5C900"</f>
        <v>23750-5C900</v>
      </c>
      <c r="B2345" t="str">
        <f>"SENSOR ASSY"</f>
        <v>SENSOR ASSY</v>
      </c>
      <c r="C2345">
        <v>13</v>
      </c>
      <c r="D2345">
        <v>1968.192</v>
      </c>
    </row>
    <row r="2346" spans="1:4">
      <c r="A2346" t="str">
        <f>"23781-2Y012"</f>
        <v>23781-2Y012</v>
      </c>
      <c r="B2346" t="str">
        <f>"VALVE ASSY-AAC"</f>
        <v>VALVE ASSY-AAC</v>
      </c>
      <c r="C2346">
        <v>10</v>
      </c>
      <c r="D2346">
        <v>12876.48</v>
      </c>
    </row>
    <row r="2347" spans="1:4">
      <c r="A2347" t="str">
        <f>"23781-2Y01A"</f>
        <v>23781-2Y01A</v>
      </c>
      <c r="B2347" t="str">
        <f>"Клапан холостого ход"</f>
        <v>Клапан холостого ход</v>
      </c>
      <c r="C2347">
        <v>11</v>
      </c>
      <c r="D2347">
        <v>13020.503999999999</v>
      </c>
    </row>
    <row r="2348" spans="1:4">
      <c r="A2348" t="str">
        <f>"23781-4M40A"</f>
        <v>23781-4M40A</v>
      </c>
      <c r="B2348" t="str">
        <f>"Клапан холостого ход"</f>
        <v>Клапан холостого ход</v>
      </c>
      <c r="C2348">
        <v>0</v>
      </c>
      <c r="D2348">
        <v>5326.0319999999992</v>
      </c>
    </row>
    <row r="2349" spans="1:4">
      <c r="A2349" t="str">
        <f>"23781-4M422"</f>
        <v>23781-4M422</v>
      </c>
      <c r="B2349" t="str">
        <f>"Клапан холостого ход"</f>
        <v>Клапан холостого ход</v>
      </c>
      <c r="C2349">
        <v>0</v>
      </c>
      <c r="D2349">
        <v>5477.808</v>
      </c>
    </row>
    <row r="2350" spans="1:4">
      <c r="A2350" t="str">
        <f>"23781-4M50A"</f>
        <v>23781-4M50A</v>
      </c>
      <c r="B2350" t="str">
        <f>"Клапан холостого ход"</f>
        <v>Клапан холостого ход</v>
      </c>
      <c r="C2350">
        <v>14</v>
      </c>
      <c r="D2350">
        <v>5980.0559999999996</v>
      </c>
    </row>
    <row r="2351" spans="1:4">
      <c r="A2351" t="str">
        <f>"23781-4M812"</f>
        <v>23781-4M812</v>
      </c>
      <c r="B2351" t="str">
        <f>"Клапан холостого ход"</f>
        <v>Клапан холостого ход</v>
      </c>
      <c r="C2351">
        <v>6</v>
      </c>
      <c r="D2351">
        <v>6037.5839999999998</v>
      </c>
    </row>
    <row r="2352" spans="1:4">
      <c r="A2352" t="str">
        <f>"23781-5M403"</f>
        <v>23781-5M403</v>
      </c>
      <c r="B2352" t="str">
        <f>"IACV-AAC VALVE"</f>
        <v>IACV-AAC VALVE</v>
      </c>
      <c r="C2352">
        <v>0</v>
      </c>
      <c r="D2352">
        <v>3540.2159999999999</v>
      </c>
    </row>
    <row r="2353" spans="1:4">
      <c r="A2353" t="str">
        <f>"23781-5U002"</f>
        <v>23781-5U002</v>
      </c>
      <c r="B2353" t="str">
        <f>"VALVE ASSY-AAC"</f>
        <v>VALVE ASSY-AAC</v>
      </c>
      <c r="C2353">
        <v>11</v>
      </c>
      <c r="D2353">
        <v>6359.9039999999995</v>
      </c>
    </row>
    <row r="2354" spans="1:4">
      <c r="A2354" t="str">
        <f>"23781-7J602"</f>
        <v>23781-7J602</v>
      </c>
      <c r="B2354" t="str">
        <f>"VALVE ASSY-AAC"</f>
        <v>VALVE ASSY-AAC</v>
      </c>
      <c r="C2354">
        <v>21</v>
      </c>
      <c r="D2354">
        <v>6554.1120000000001</v>
      </c>
    </row>
    <row r="2355" spans="1:4">
      <c r="A2355" t="str">
        <f>"23781-7J61A"</f>
        <v>23781-7J61A</v>
      </c>
      <c r="B2355" t="str">
        <f>"Клапан холостого ход"</f>
        <v>Клапан холостого ход</v>
      </c>
      <c r="C2355">
        <v>5</v>
      </c>
      <c r="D2355">
        <v>6824.616</v>
      </c>
    </row>
    <row r="2356" spans="1:4">
      <c r="A2356" t="str">
        <f>"23782-1N600"</f>
        <v>23782-1N600</v>
      </c>
      <c r="B2356" t="str">
        <f>"VALVE ASSY-AAC"</f>
        <v>VALVE ASSY-AAC</v>
      </c>
      <c r="C2356">
        <v>9</v>
      </c>
      <c r="D2356">
        <v>6188.5439999999999</v>
      </c>
    </row>
    <row r="2357" spans="1:4">
      <c r="A2357" t="str">
        <f>"23785-73C00"</f>
        <v>23785-73C00</v>
      </c>
      <c r="B2357" t="str">
        <f>"GASKET-AAC VALV"</f>
        <v>GASKET-AAC VALV</v>
      </c>
      <c r="C2357">
        <v>18</v>
      </c>
      <c r="D2357">
        <v>95.88000000000001</v>
      </c>
    </row>
    <row r="2358" spans="1:4">
      <c r="A2358" t="str">
        <f>"23796-AU00B"</f>
        <v>23796-AU00B</v>
      </c>
      <c r="B2358" t="str">
        <f>"Клапан газораспредел"</f>
        <v>Клапан газораспредел</v>
      </c>
      <c r="C2358">
        <v>4</v>
      </c>
      <c r="D2358">
        <v>4139.9759999999997</v>
      </c>
    </row>
    <row r="2359" spans="1:4">
      <c r="A2359" t="str">
        <f>"23796-EA20A"</f>
        <v>23796-EA20A</v>
      </c>
      <c r="B2359" t="str">
        <f>"Клапан газораспредел"</f>
        <v>Клапан газораспредел</v>
      </c>
      <c r="C2359">
        <v>4</v>
      </c>
      <c r="D2359">
        <v>6095.927999999999</v>
      </c>
    </row>
    <row r="2360" spans="1:4">
      <c r="A2360" t="str">
        <f>"23796-ED00B"</f>
        <v>23796-ED00B</v>
      </c>
      <c r="B2360" t="str">
        <f>"Клапан электромагнит"</f>
        <v>Клапан электромагнит</v>
      </c>
      <c r="C2360">
        <v>2</v>
      </c>
      <c r="D2360">
        <v>4242.384</v>
      </c>
    </row>
    <row r="2361" spans="1:4">
      <c r="A2361" t="str">
        <f>"23796-EN200"</f>
        <v>23796-EN200</v>
      </c>
      <c r="B2361" t="str">
        <f>"Клапан электромагнит"</f>
        <v>Клапан электромагнит</v>
      </c>
      <c r="C2361">
        <v>2</v>
      </c>
      <c r="D2361">
        <v>4339.4879999999994</v>
      </c>
    </row>
    <row r="2362" spans="1:4">
      <c r="A2362" t="str">
        <f>"23796-ZE00C"</f>
        <v>23796-ZE00C</v>
      </c>
      <c r="B2362" t="str">
        <f>"Клапан газораспредел"</f>
        <v>Клапан газораспредел</v>
      </c>
      <c r="C2362">
        <v>12</v>
      </c>
      <c r="D2362">
        <v>4734.0239999999994</v>
      </c>
    </row>
    <row r="2363" spans="1:4">
      <c r="A2363" t="str">
        <f>"23797-2Y50A"</f>
        <v>23797-2Y50A</v>
      </c>
      <c r="B2363" t="str">
        <f>"Прокладка клапана га"</f>
        <v>Прокладка клапана га</v>
      </c>
      <c r="C2363">
        <v>36</v>
      </c>
      <c r="D2363">
        <v>120.35999999999999</v>
      </c>
    </row>
    <row r="2364" spans="1:4">
      <c r="A2364" t="str">
        <f>"24015-VK401"</f>
        <v>24015-VK401</v>
      </c>
      <c r="B2364" t="str">
        <f>"Жгут проводки"</f>
        <v>Жгут проводки</v>
      </c>
      <c r="C2364">
        <v>1</v>
      </c>
      <c r="D2364">
        <v>3071.8319999999999</v>
      </c>
    </row>
    <row r="2365" spans="1:4">
      <c r="A2365" t="str">
        <f>"24021-95F0E"</f>
        <v>24021-95F0E</v>
      </c>
      <c r="B2365" t="str">
        <f>"Предохранитель 1"</f>
        <v>Предохранитель 1</v>
      </c>
      <c r="C2365">
        <v>3</v>
      </c>
      <c r="D2365">
        <v>431.66400000000004</v>
      </c>
    </row>
    <row r="2366" spans="1:4">
      <c r="A2366" t="str">
        <f>"24028-JG01B"</f>
        <v>24028-JG01B</v>
      </c>
      <c r="B2366" t="str">
        <f>"Жгут проводки"</f>
        <v>Жгут проводки</v>
      </c>
      <c r="C2366">
        <v>0</v>
      </c>
      <c r="D2366">
        <v>1226.04</v>
      </c>
    </row>
    <row r="2367" spans="1:4">
      <c r="A2367" t="str">
        <f>"24168-BA00C"</f>
        <v>24168-BA00C</v>
      </c>
      <c r="B2367" t="str">
        <f>"HARNESS-SUB"</f>
        <v>HARNESS-SUB</v>
      </c>
      <c r="C2367">
        <v>1</v>
      </c>
      <c r="D2367">
        <v>60.791999999999994</v>
      </c>
    </row>
    <row r="2368" spans="1:4">
      <c r="A2368" t="str">
        <f>"24276-4M700"</f>
        <v>24276-4M700</v>
      </c>
      <c r="B2368" t="str">
        <f>"PROTECTOR"</f>
        <v>PROTECTOR</v>
      </c>
      <c r="C2368">
        <v>11</v>
      </c>
      <c r="D2368">
        <v>235.416</v>
      </c>
    </row>
    <row r="2369" spans="1:4">
      <c r="A2369" t="str">
        <f>"24276-50Y00"</f>
        <v>24276-50Y00</v>
      </c>
      <c r="B2369" t="str">
        <f>"PROTECTOR-HARNE"</f>
        <v>PROTECTOR-HARNE</v>
      </c>
      <c r="C2369">
        <v>1</v>
      </c>
      <c r="D2369">
        <v>258.67199999999997</v>
      </c>
    </row>
    <row r="2370" spans="1:4">
      <c r="A2370" t="str">
        <f>"24276-95F0B"</f>
        <v>24276-95F0B</v>
      </c>
      <c r="B2370" t="str">
        <f>"Кожух защитный жгута"</f>
        <v>Кожух защитный жгута</v>
      </c>
      <c r="C2370">
        <v>4</v>
      </c>
      <c r="D2370">
        <v>272.952</v>
      </c>
    </row>
    <row r="2371" spans="1:4">
      <c r="A2371" t="str">
        <f>"24319-89915"</f>
        <v>24319-89915</v>
      </c>
      <c r="B2371" t="str">
        <f>"Предохранитель 1"</f>
        <v>Предохранитель 1</v>
      </c>
      <c r="C2371">
        <v>3</v>
      </c>
      <c r="D2371">
        <v>44.879999999999995</v>
      </c>
    </row>
    <row r="2372" spans="1:4">
      <c r="A2372" t="str">
        <f>"24319-C9910"</f>
        <v>24319-C9910</v>
      </c>
      <c r="B2372" t="str">
        <f>"FUSE"</f>
        <v>FUSE</v>
      </c>
      <c r="C2372">
        <v>64</v>
      </c>
      <c r="D2372">
        <v>45.288000000000004</v>
      </c>
    </row>
    <row r="2373" spans="1:4">
      <c r="A2373" t="str">
        <f>"24319-C9915"</f>
        <v>24319-C9915</v>
      </c>
      <c r="B2373" t="str">
        <f>"FUSE"</f>
        <v>FUSE</v>
      </c>
      <c r="C2373">
        <v>52</v>
      </c>
      <c r="D2373">
        <v>41.616</v>
      </c>
    </row>
    <row r="2374" spans="1:4">
      <c r="A2374" t="str">
        <f>"24319-C9920"</f>
        <v>24319-C9920</v>
      </c>
      <c r="B2374" t="str">
        <f>"FUSE"</f>
        <v>FUSE</v>
      </c>
      <c r="C2374">
        <v>33</v>
      </c>
      <c r="D2374">
        <v>42.84</v>
      </c>
    </row>
    <row r="2375" spans="1:4">
      <c r="A2375" t="str">
        <f>"24319-C9924"</f>
        <v>24319-C9924</v>
      </c>
      <c r="B2375" t="str">
        <f>"FUSE 30A"</f>
        <v>FUSE 30A</v>
      </c>
      <c r="C2375">
        <v>2</v>
      </c>
      <c r="D2375">
        <v>12.239999999999998</v>
      </c>
    </row>
    <row r="2376" spans="1:4">
      <c r="A2376" t="str">
        <f>"24340-7F000"</f>
        <v>24340-7F000</v>
      </c>
      <c r="B2376" t="str">
        <f>"CONNECTOR ASSY"</f>
        <v>CONNECTOR ASSY</v>
      </c>
      <c r="C2376">
        <v>19</v>
      </c>
      <c r="D2376">
        <v>348.84</v>
      </c>
    </row>
    <row r="2377" spans="1:4">
      <c r="A2377" t="str">
        <f>"24345-79912"</f>
        <v>24345-79912</v>
      </c>
      <c r="B2377" t="str">
        <f>"COVER-CONNECTOR"</f>
        <v>COVER-CONNECTOR</v>
      </c>
      <c r="C2377">
        <v>11</v>
      </c>
      <c r="D2377">
        <v>97.512</v>
      </c>
    </row>
    <row r="2378" spans="1:4">
      <c r="A2378" t="str">
        <f>"24345-79915"</f>
        <v>24345-79915</v>
      </c>
      <c r="B2378" t="str">
        <f>"Крышка"</f>
        <v>Крышка</v>
      </c>
      <c r="C2378">
        <v>0</v>
      </c>
      <c r="D2378">
        <v>538.96799999999996</v>
      </c>
    </row>
    <row r="2379" spans="1:4">
      <c r="A2379" t="str">
        <f>"24345-VB000"</f>
        <v>24345-VB000</v>
      </c>
      <c r="B2379" t="str">
        <f>"COVER-CONNECTOR"</f>
        <v>COVER-CONNECTOR</v>
      </c>
      <c r="C2379">
        <v>2</v>
      </c>
      <c r="D2379">
        <v>484.70400000000001</v>
      </c>
    </row>
    <row r="2380" spans="1:4">
      <c r="A2380" t="str">
        <f>"24370-0B010"</f>
        <v>24370-0B010</v>
      </c>
      <c r="B2380" t="str">
        <f>"Предохранитель"</f>
        <v>Предохранитель</v>
      </c>
      <c r="C2380">
        <v>19</v>
      </c>
      <c r="D2380">
        <v>177.072</v>
      </c>
    </row>
    <row r="2381" spans="1:4">
      <c r="A2381" t="str">
        <f>"24370-79900"</f>
        <v>24370-79900</v>
      </c>
      <c r="B2381" t="str">
        <f>"CONNECTOR ASSY"</f>
        <v>CONNECTOR ASSY</v>
      </c>
      <c r="C2381">
        <v>9</v>
      </c>
      <c r="D2381">
        <v>447.98399999999998</v>
      </c>
    </row>
    <row r="2382" spans="1:4">
      <c r="A2382" t="str">
        <f>"24370-79917"</f>
        <v>24370-79917</v>
      </c>
      <c r="B2382" t="str">
        <f>"CONNECTOR ASSY"</f>
        <v>CONNECTOR ASSY</v>
      </c>
      <c r="C2382">
        <v>4</v>
      </c>
      <c r="D2382">
        <v>452.87999999999994</v>
      </c>
    </row>
    <row r="2383" spans="1:4">
      <c r="A2383" t="str">
        <f>"24370-89900"</f>
        <v>24370-89900</v>
      </c>
      <c r="B2383" t="str">
        <f>"ПРЕДОХРАНИТЕЛЬ"</f>
        <v>ПРЕДОХРАНИТЕЛЬ</v>
      </c>
      <c r="C2383">
        <v>2</v>
      </c>
      <c r="D2383">
        <v>289.27199999999999</v>
      </c>
    </row>
    <row r="2384" spans="1:4">
      <c r="A2384" t="str">
        <f>"24370-89905"</f>
        <v>24370-89905</v>
      </c>
      <c r="B2384" t="str">
        <f>"ПРЕДОХРАНИТЕЛЬ"</f>
        <v>ПРЕДОХРАНИТЕЛЬ</v>
      </c>
      <c r="C2384">
        <v>2</v>
      </c>
      <c r="D2384">
        <v>295.8</v>
      </c>
    </row>
    <row r="2385" spans="1:4">
      <c r="A2385" t="str">
        <f>"24370-89920"</f>
        <v>24370-89920</v>
      </c>
      <c r="B2385" t="str">
        <f>"LINK-FUSIBLE"</f>
        <v>LINK-FUSIBLE</v>
      </c>
      <c r="C2385">
        <v>10</v>
      </c>
      <c r="D2385">
        <v>288.45599999999996</v>
      </c>
    </row>
    <row r="2386" spans="1:4">
      <c r="A2386" t="str">
        <f>"24370-C9900"</f>
        <v>24370-C9900</v>
      </c>
      <c r="B2386" t="str">
        <f>"Предохранитель 40А*3"</f>
        <v>Предохранитель 40А*3</v>
      </c>
      <c r="C2386">
        <v>4</v>
      </c>
      <c r="D2386">
        <v>337.00799999999998</v>
      </c>
    </row>
    <row r="2387" spans="1:4">
      <c r="A2387" t="str">
        <f>"24370-C9906"</f>
        <v>24370-C9906</v>
      </c>
      <c r="B2387" t="str">
        <f>"Предохранитель 50/30"</f>
        <v>Предохранитель 50/30</v>
      </c>
      <c r="C2387">
        <v>4</v>
      </c>
      <c r="D2387">
        <v>448.392</v>
      </c>
    </row>
    <row r="2388" spans="1:4">
      <c r="A2388" t="str">
        <f>"24370-C9907"</f>
        <v>24370-C9907</v>
      </c>
      <c r="B2388" t="str">
        <f>"Предохранитель 50А+3"</f>
        <v>Предохранитель 50А+3</v>
      </c>
      <c r="C2388">
        <v>1</v>
      </c>
      <c r="D2388">
        <v>439.82399999999996</v>
      </c>
    </row>
    <row r="2389" spans="1:4">
      <c r="A2389" t="str">
        <f>"24370-C9911"</f>
        <v>24370-C9911</v>
      </c>
      <c r="B2389" t="str">
        <f>"CONNECTOR ASSY"</f>
        <v>CONNECTOR ASSY</v>
      </c>
      <c r="C2389">
        <v>5</v>
      </c>
      <c r="D2389">
        <v>430.03199999999998</v>
      </c>
    </row>
    <row r="2390" spans="1:4">
      <c r="A2390" t="str">
        <f>"24370-C9921"</f>
        <v>24370-C9921</v>
      </c>
      <c r="B2390" t="str">
        <f>"CONNECTOR ASSY"</f>
        <v>CONNECTOR ASSY</v>
      </c>
      <c r="C2390">
        <v>5</v>
      </c>
      <c r="D2390">
        <v>443.08800000000002</v>
      </c>
    </row>
    <row r="2391" spans="1:4">
      <c r="A2391" t="str">
        <f>"24370-C9980"</f>
        <v>24370-C9980</v>
      </c>
      <c r="B2391" t="str">
        <f>"CONNECTOR ASSY"</f>
        <v>CONNECTOR ASSY</v>
      </c>
      <c r="C2391">
        <v>34</v>
      </c>
      <c r="D2391">
        <v>458.18399999999997</v>
      </c>
    </row>
    <row r="2392" spans="1:4">
      <c r="A2392" t="str">
        <f>"24380-33U00"</f>
        <v>24380-33U00</v>
      </c>
      <c r="B2392" t="str">
        <f>"BOX ASSY"</f>
        <v>BOX ASSY</v>
      </c>
      <c r="C2392">
        <v>2</v>
      </c>
      <c r="D2392">
        <v>820.89600000000007</v>
      </c>
    </row>
    <row r="2393" spans="1:4">
      <c r="A2393" t="str">
        <f>"24380-4M460"</f>
        <v>24380-4M460</v>
      </c>
      <c r="B2393" t="str">
        <f>"BOX ASSY"</f>
        <v>BOX ASSY</v>
      </c>
      <c r="C2393">
        <v>2</v>
      </c>
      <c r="D2393">
        <v>1164.0239999999999</v>
      </c>
    </row>
    <row r="2394" spans="1:4">
      <c r="A2394" t="str">
        <f>"24380-4M480"</f>
        <v>24380-4M480</v>
      </c>
      <c r="B2394" t="str">
        <f>"BOX ASSY"</f>
        <v>BOX ASSY</v>
      </c>
      <c r="C2394">
        <v>1</v>
      </c>
      <c r="D2394">
        <v>1177.08</v>
      </c>
    </row>
    <row r="2395" spans="1:4">
      <c r="A2395" t="str">
        <f>"24380-79908"</f>
        <v>24380-79908</v>
      </c>
      <c r="B2395" t="str">
        <f>"HOLDER-FUSIBLE"</f>
        <v>HOLDER-FUSIBLE</v>
      </c>
      <c r="C2395">
        <v>9</v>
      </c>
      <c r="D2395">
        <v>1208.904</v>
      </c>
    </row>
    <row r="2396" spans="1:4">
      <c r="A2396" t="str">
        <f>"24380-79912"</f>
        <v>24380-79912</v>
      </c>
      <c r="B2396" t="str">
        <f>"Блок предохранителей"</f>
        <v>Блок предохранителей</v>
      </c>
      <c r="C2396">
        <v>2</v>
      </c>
      <c r="D2396">
        <v>930.64799999999991</v>
      </c>
    </row>
    <row r="2397" spans="1:4">
      <c r="A2397" t="str">
        <f>"24380-79915"</f>
        <v>24380-79915</v>
      </c>
      <c r="B2397" t="str">
        <f>"Корпус блока предохр"</f>
        <v>Корпус блока предохр</v>
      </c>
      <c r="C2397">
        <v>3</v>
      </c>
      <c r="D2397">
        <v>640.96799999999996</v>
      </c>
    </row>
    <row r="2398" spans="1:4">
      <c r="A2398" t="str">
        <f>"24380-7994A"</f>
        <v>24380-7994A</v>
      </c>
      <c r="B2398" t="str">
        <f>"Блок предохранителей"</f>
        <v>Блок предохранителей</v>
      </c>
      <c r="C2398">
        <v>1</v>
      </c>
      <c r="D2398">
        <v>1217.472</v>
      </c>
    </row>
    <row r="2399" spans="1:4">
      <c r="A2399" t="str">
        <f>"24380-89914"</f>
        <v>24380-89914</v>
      </c>
      <c r="B2399" t="str">
        <f>"HOLDER"</f>
        <v>HOLDER</v>
      </c>
      <c r="C2399">
        <v>4</v>
      </c>
      <c r="D2399">
        <v>959.20799999999997</v>
      </c>
    </row>
    <row r="2400" spans="1:4">
      <c r="A2400" t="str">
        <f>"24380-95F0B"</f>
        <v>24380-95F0B</v>
      </c>
      <c r="B2400" t="str">
        <f>"Корпус блока предохр"</f>
        <v>Корпус блока предохр</v>
      </c>
      <c r="C2400">
        <v>8</v>
      </c>
      <c r="D2400">
        <v>1192.5840000000001</v>
      </c>
    </row>
    <row r="2401" spans="1:4">
      <c r="A2401" t="str">
        <f>"24380-95F0C"</f>
        <v>24380-95F0C</v>
      </c>
      <c r="B2401" t="str">
        <f>"Корпус блока предохр"</f>
        <v>Корпус блока предохр</v>
      </c>
      <c r="C2401">
        <v>6</v>
      </c>
      <c r="D2401">
        <v>897.6</v>
      </c>
    </row>
    <row r="2402" spans="1:4">
      <c r="A2402" t="str">
        <f>"24380-AU000"</f>
        <v>24380-AU000</v>
      </c>
      <c r="B2402" t="str">
        <f>"HOLDER-FUSIBLE"</f>
        <v>HOLDER-FUSIBLE</v>
      </c>
      <c r="C2402">
        <v>2</v>
      </c>
      <c r="D2402">
        <v>2769.096</v>
      </c>
    </row>
    <row r="2403" spans="1:4">
      <c r="A2403" t="str">
        <f>"24382-2Y911"</f>
        <v>24382-2Y911</v>
      </c>
      <c r="B2403" t="str">
        <f>"COVER-RELAY BOX"</f>
        <v>COVER-RELAY BOX</v>
      </c>
      <c r="C2403">
        <v>3</v>
      </c>
      <c r="D2403">
        <v>508.36799999999994</v>
      </c>
    </row>
    <row r="2404" spans="1:4">
      <c r="A2404" t="str">
        <f>"24382-4M460"</f>
        <v>24382-4M460</v>
      </c>
      <c r="B2404" t="str">
        <f>"COVER-RELAY BOX"</f>
        <v>COVER-RELAY BOX</v>
      </c>
      <c r="C2404">
        <v>10</v>
      </c>
      <c r="D2404">
        <v>1082.8319999999999</v>
      </c>
    </row>
    <row r="2405" spans="1:4">
      <c r="A2405" t="str">
        <f>"24382-4M480"</f>
        <v>24382-4M480</v>
      </c>
      <c r="B2405" t="str">
        <f>"COVER-RELAY BOX"</f>
        <v>COVER-RELAY BOX</v>
      </c>
      <c r="C2405">
        <v>6</v>
      </c>
      <c r="D2405">
        <v>731.952</v>
      </c>
    </row>
    <row r="2406" spans="1:4">
      <c r="A2406" t="str">
        <f>"24382-4M711"</f>
        <v>24382-4M711</v>
      </c>
      <c r="B2406" t="str">
        <f>"COVER-RELAY BOX"</f>
        <v>COVER-RELAY BOX</v>
      </c>
      <c r="C2406">
        <v>5</v>
      </c>
      <c r="D2406">
        <v>519.79200000000003</v>
      </c>
    </row>
    <row r="2407" spans="1:4">
      <c r="A2407" t="str">
        <f>"24382-7S110"</f>
        <v>24382-7S110</v>
      </c>
      <c r="B2407" t="str">
        <f>"Крышка блока предохр"</f>
        <v>Крышка блока предохр</v>
      </c>
      <c r="C2407">
        <v>1</v>
      </c>
      <c r="D2407">
        <v>716.85599999999999</v>
      </c>
    </row>
    <row r="2408" spans="1:4">
      <c r="A2408" t="str">
        <f>"24382-95F0F"</f>
        <v>24382-95F0F</v>
      </c>
      <c r="B2408" t="str">
        <f>"Крышка блока предохр"</f>
        <v>Крышка блока предохр</v>
      </c>
      <c r="C2408">
        <v>11</v>
      </c>
      <c r="D2408">
        <v>516.93599999999992</v>
      </c>
    </row>
    <row r="2409" spans="1:4">
      <c r="A2409" t="str">
        <f>"24382-95F0J"</f>
        <v>24382-95F0J</v>
      </c>
      <c r="B2409" t="str">
        <f>"Крышка блока предохр"</f>
        <v>Крышка блока предохр</v>
      </c>
      <c r="C2409">
        <v>2</v>
      </c>
      <c r="D2409">
        <v>597.31200000000001</v>
      </c>
    </row>
    <row r="2410" spans="1:4">
      <c r="A2410" t="str">
        <f>"24382-95F0K"</f>
        <v>24382-95F0K</v>
      </c>
      <c r="B2410" t="str">
        <f>"Крышка блока предохр"</f>
        <v>Крышка блока предохр</v>
      </c>
      <c r="C2410">
        <v>2</v>
      </c>
      <c r="D2410">
        <v>587.11199999999997</v>
      </c>
    </row>
    <row r="2411" spans="1:4">
      <c r="A2411" t="str">
        <f>"24382-AU010"</f>
        <v>24382-AU010</v>
      </c>
      <c r="B2411" t="str">
        <f>"COVER"</f>
        <v>COVER</v>
      </c>
      <c r="C2411">
        <v>2</v>
      </c>
      <c r="D2411">
        <v>458.59200000000004</v>
      </c>
    </row>
    <row r="2412" spans="1:4">
      <c r="A2412" t="str">
        <f>"24382-AV702"</f>
        <v>24382-AV702</v>
      </c>
      <c r="B2412" t="str">
        <f>"COVER-FUSIBLE L"</f>
        <v>COVER-FUSIBLE L</v>
      </c>
      <c r="C2412">
        <v>2</v>
      </c>
      <c r="D2412">
        <v>428.80799999999994</v>
      </c>
    </row>
    <row r="2413" spans="1:4">
      <c r="A2413" t="str">
        <f>"24382-AX001"</f>
        <v>24382-AX001</v>
      </c>
      <c r="B2413" t="str">
        <f>"COVER"</f>
        <v>COVER</v>
      </c>
      <c r="C2413">
        <v>4</v>
      </c>
      <c r="D2413">
        <v>454.92</v>
      </c>
    </row>
    <row r="2414" spans="1:4">
      <c r="A2414" t="str">
        <f>"24382-AY600"</f>
        <v>24382-AY600</v>
      </c>
      <c r="B2414" t="str">
        <f>"COVER-FUSIBLE L"</f>
        <v>COVER-FUSIBLE L</v>
      </c>
      <c r="C2414">
        <v>7</v>
      </c>
      <c r="D2414">
        <v>454.92</v>
      </c>
    </row>
    <row r="2415" spans="1:4">
      <c r="A2415" t="str">
        <f>"24382-BC41A"</f>
        <v>24382-BC41A</v>
      </c>
      <c r="B2415" t="str">
        <f>"Крышка блока предохр"</f>
        <v>Крышка блока предохр</v>
      </c>
      <c r="C2415">
        <v>3</v>
      </c>
      <c r="D2415">
        <v>448.8</v>
      </c>
    </row>
    <row r="2416" spans="1:4">
      <c r="A2416" t="str">
        <f>"24382-BN800"</f>
        <v>24382-BN800</v>
      </c>
      <c r="B2416" t="str">
        <f>"COVER-FUSIBLE L"</f>
        <v>COVER-FUSIBLE L</v>
      </c>
      <c r="C2416">
        <v>0</v>
      </c>
      <c r="D2416">
        <v>483.88799999999998</v>
      </c>
    </row>
    <row r="2417" spans="1:4">
      <c r="A2417" t="str">
        <f>"24382-EM11A"</f>
        <v>24382-EM11A</v>
      </c>
      <c r="B2417" t="str">
        <f>"Крышка блока предохр"</f>
        <v>Крышка блока предохр</v>
      </c>
      <c r="C2417">
        <v>0</v>
      </c>
      <c r="D2417">
        <v>517.34399999999994</v>
      </c>
    </row>
    <row r="2418" spans="1:4">
      <c r="A2418" t="str">
        <f>"24382-JG00B"</f>
        <v>24382-JG00B</v>
      </c>
      <c r="B2418" t="str">
        <f>"Крышка блока предохр"</f>
        <v>Крышка блока предохр</v>
      </c>
      <c r="C2418">
        <v>12</v>
      </c>
      <c r="D2418">
        <v>427.99200000000002</v>
      </c>
    </row>
    <row r="2419" spans="1:4">
      <c r="A2419" t="str">
        <f>"24382-JN00A"</f>
        <v>24382-JN00A</v>
      </c>
      <c r="B2419" t="str">
        <f>"КРЫШКА ПРЕДОХР"</f>
        <v>КРЫШКА ПРЕДОХР</v>
      </c>
      <c r="C2419">
        <v>0</v>
      </c>
      <c r="D2419">
        <v>612.4079999999999</v>
      </c>
    </row>
    <row r="2420" spans="1:4">
      <c r="A2420" t="str">
        <f>"24383-4M460"</f>
        <v>24383-4M460</v>
      </c>
      <c r="B2420" t="str">
        <f>"HOUSING-RELAY"</f>
        <v>HOUSING-RELAY</v>
      </c>
      <c r="C2420">
        <v>1</v>
      </c>
      <c r="D2420">
        <v>502.24799999999999</v>
      </c>
    </row>
    <row r="2421" spans="1:4">
      <c r="A2421" t="str">
        <f>"24383-JD00A"</f>
        <v>24383-JD00A</v>
      </c>
      <c r="B2421" t="str">
        <f>"Блок предохранителей"</f>
        <v>Блок предохранителей</v>
      </c>
      <c r="C2421">
        <v>9</v>
      </c>
      <c r="D2421">
        <v>1354.56</v>
      </c>
    </row>
    <row r="2422" spans="1:4">
      <c r="A2422" t="str">
        <f>"24420-2TH0A"</f>
        <v>24420-2TH0A</v>
      </c>
      <c r="B2422" t="str">
        <f>"Тяга крепления аккум"</f>
        <v>Тяга крепления аккум</v>
      </c>
      <c r="C2422">
        <v>2</v>
      </c>
      <c r="D2422">
        <v>268.464</v>
      </c>
    </row>
    <row r="2423" spans="1:4">
      <c r="A2423" t="str">
        <f>"24420-4M800"</f>
        <v>24420-4M800</v>
      </c>
      <c r="B2423" t="str">
        <f>"BEAM-BATT SETTI"</f>
        <v>BEAM-BATT SETTI</v>
      </c>
      <c r="C2423">
        <v>0</v>
      </c>
      <c r="D2423">
        <v>311.30400000000003</v>
      </c>
    </row>
    <row r="2424" spans="1:4">
      <c r="A2424" t="str">
        <f>"24425-8990A"</f>
        <v>24425-8990A</v>
      </c>
      <c r="B2424" t="str">
        <f>"Тяга крепления аккум"</f>
        <v>Тяга крепления аккум</v>
      </c>
      <c r="C2424">
        <v>0</v>
      </c>
      <c r="D2424">
        <v>63.24</v>
      </c>
    </row>
    <row r="2425" spans="1:4">
      <c r="A2425" t="str">
        <f>"24425-8990B"</f>
        <v>24425-8990B</v>
      </c>
      <c r="B2425" t="str">
        <f>"Тяга крепления аккум"</f>
        <v>Тяга крепления аккум</v>
      </c>
      <c r="C2425">
        <v>15</v>
      </c>
      <c r="D2425">
        <v>62.831999999999994</v>
      </c>
    </row>
    <row r="2426" spans="1:4">
      <c r="A2426" t="str">
        <f>"24425-VD200"</f>
        <v>24425-VD200</v>
      </c>
      <c r="B2426" t="str">
        <f>"Тяга крепления аккум"</f>
        <v>Тяга крепления аккум</v>
      </c>
      <c r="C2426">
        <v>10</v>
      </c>
      <c r="D2426">
        <v>102.816</v>
      </c>
    </row>
    <row r="2427" spans="1:4">
      <c r="A2427" t="str">
        <f>"24427-EB70A"</f>
        <v>24427-EB70A</v>
      </c>
      <c r="B2427" t="str">
        <f>"Кронштейн аккумулято"</f>
        <v>Кронштейн аккумулято</v>
      </c>
      <c r="C2427">
        <v>6</v>
      </c>
      <c r="D2427">
        <v>301.512</v>
      </c>
    </row>
    <row r="2428" spans="1:4">
      <c r="A2428" t="str">
        <f>"24428-56L00"</f>
        <v>24428-56L00</v>
      </c>
      <c r="B2428" t="str">
        <f>"TRAY SUPPORT BA"</f>
        <v>TRAY SUPPORT BA</v>
      </c>
      <c r="C2428">
        <v>7</v>
      </c>
      <c r="D2428">
        <v>250.51199999999997</v>
      </c>
    </row>
    <row r="2429" spans="1:4">
      <c r="A2429" t="str">
        <f>"24428-95F0A"</f>
        <v>24428-95F0A</v>
      </c>
      <c r="B2429" t="str">
        <f>"Поддон аккумулят"</f>
        <v>Поддон аккумулят</v>
      </c>
      <c r="C2429">
        <v>3</v>
      </c>
      <c r="D2429">
        <v>753.16800000000001</v>
      </c>
    </row>
    <row r="2430" spans="1:4">
      <c r="A2430" t="str">
        <f>"24860-0M000"</f>
        <v>24860-0M000</v>
      </c>
      <c r="B2430" t="str">
        <f>"SOCKET &amp; BULB"</f>
        <v>SOCKET &amp; BULB</v>
      </c>
      <c r="C2430">
        <v>4</v>
      </c>
      <c r="D2430">
        <v>292.94400000000002</v>
      </c>
    </row>
    <row r="2431" spans="1:4">
      <c r="A2431" t="str">
        <f>"24860-2F100"</f>
        <v>24860-2F100</v>
      </c>
      <c r="B2431" t="str">
        <f>"SOCKET &amp; BULB A"</f>
        <v>SOCKET &amp; BULB A</v>
      </c>
      <c r="C2431">
        <v>4</v>
      </c>
      <c r="D2431">
        <v>119.136</v>
      </c>
    </row>
    <row r="2432" spans="1:4">
      <c r="A2432" t="str">
        <f>"24860-2J001"</f>
        <v>24860-2J001</v>
      </c>
      <c r="B2432" t="str">
        <f>"SOCKET &amp; BULB"</f>
        <v>SOCKET &amp; BULB</v>
      </c>
      <c r="C2432">
        <v>4</v>
      </c>
      <c r="D2432">
        <v>304.36799999999999</v>
      </c>
    </row>
    <row r="2433" spans="1:4">
      <c r="A2433" t="str">
        <f>"24860-40F01"</f>
        <v>24860-40F01</v>
      </c>
      <c r="B2433" t="str">
        <f>"SOCKET &amp; BULB A"</f>
        <v>SOCKET &amp; BULB A</v>
      </c>
      <c r="C2433">
        <v>8</v>
      </c>
      <c r="D2433">
        <v>171.36</v>
      </c>
    </row>
    <row r="2434" spans="1:4">
      <c r="A2434" t="str">
        <f>"24860-40F02"</f>
        <v>24860-40F02</v>
      </c>
      <c r="B2434" t="str">
        <f>"SOCKET &amp; BULB A"</f>
        <v>SOCKET &amp; BULB A</v>
      </c>
      <c r="C2434">
        <v>32</v>
      </c>
      <c r="D2434">
        <v>137.08799999999999</v>
      </c>
    </row>
    <row r="2435" spans="1:4">
      <c r="A2435" t="str">
        <f>"24860-AM620"</f>
        <v>24860-AM620</v>
      </c>
      <c r="B2435" t="str">
        <f>"Патрон с лампочк"</f>
        <v>Патрон с лампочк</v>
      </c>
      <c r="C2435">
        <v>2</v>
      </c>
      <c r="D2435">
        <v>420.64800000000002</v>
      </c>
    </row>
    <row r="2436" spans="1:4">
      <c r="A2436" t="str">
        <f>"24860-C9900"</f>
        <v>24860-C9900</v>
      </c>
      <c r="B2436" t="str">
        <f>"SOCKET &amp; BULB A"</f>
        <v>SOCKET &amp; BULB A</v>
      </c>
      <c r="C2436">
        <v>29</v>
      </c>
      <c r="D2436">
        <v>379.44</v>
      </c>
    </row>
    <row r="2437" spans="1:4">
      <c r="A2437" t="str">
        <f>"24860-C9910"</f>
        <v>24860-C9910</v>
      </c>
      <c r="B2437" t="str">
        <f>"LAMP ASSY IGN S"</f>
        <v>LAMP ASSY IGN S</v>
      </c>
      <c r="C2437">
        <v>19</v>
      </c>
      <c r="D2437">
        <v>168.50399999999999</v>
      </c>
    </row>
    <row r="2438" spans="1:4">
      <c r="A2438" t="str">
        <f>"25010-0W100"</f>
        <v>25010-0W100</v>
      </c>
      <c r="B2438" t="str">
        <f>"SENSOR ASSY"</f>
        <v>SENSOR ASSY</v>
      </c>
      <c r="C2438">
        <v>3</v>
      </c>
      <c r="D2438">
        <v>4378.6559999999999</v>
      </c>
    </row>
    <row r="2439" spans="1:4">
      <c r="A2439" t="str">
        <f>"25010-2F000"</f>
        <v>25010-2F000</v>
      </c>
      <c r="B2439" t="str">
        <f>"SENSOR"</f>
        <v>SENSOR</v>
      </c>
      <c r="C2439">
        <v>0</v>
      </c>
      <c r="D2439">
        <v>4298.6879999999992</v>
      </c>
    </row>
    <row r="2440" spans="1:4">
      <c r="A2440" t="str">
        <f>"25050-0F010"</f>
        <v>25050-0F010</v>
      </c>
      <c r="B2440" t="str">
        <f>"SHAFT SPEEDOMET"</f>
        <v>SHAFT SPEEDOMET</v>
      </c>
      <c r="C2440">
        <v>6</v>
      </c>
      <c r="D2440">
        <v>1396.992</v>
      </c>
    </row>
    <row r="2441" spans="1:4">
      <c r="A2441" t="str">
        <f>"25050-59J00"</f>
        <v>25050-59J00</v>
      </c>
      <c r="B2441" t="str">
        <f>"SHAFT SPEEDOMET"</f>
        <v>SHAFT SPEEDOMET</v>
      </c>
      <c r="C2441">
        <v>0</v>
      </c>
      <c r="D2441">
        <v>825.38400000000001</v>
      </c>
    </row>
    <row r="2442" spans="1:4">
      <c r="A2442" t="str">
        <f>"25050-65Y02"</f>
        <v>25050-65Y02</v>
      </c>
      <c r="B2442" t="str">
        <f>"SHAFT SPEEDOMET"</f>
        <v>SHAFT SPEEDOMET</v>
      </c>
      <c r="C2442">
        <v>2</v>
      </c>
      <c r="D2442">
        <v>776.01599999999996</v>
      </c>
    </row>
    <row r="2443" spans="1:4">
      <c r="A2443" t="str">
        <f>"25050-8C800"</f>
        <v>25050-8C800</v>
      </c>
      <c r="B2443" t="str">
        <f>"SHAFT ASSY-FLEX"</f>
        <v>SHAFT ASSY-FLEX</v>
      </c>
      <c r="C2443">
        <v>2</v>
      </c>
      <c r="D2443">
        <v>2881.7040000000002</v>
      </c>
    </row>
    <row r="2444" spans="1:4">
      <c r="A2444" t="str">
        <f>"25050-9C000"</f>
        <v>25050-9C000</v>
      </c>
      <c r="B2444" t="str">
        <f>"SHAFT ASSY-FLEX"</f>
        <v>SHAFT ASSY-FLEX</v>
      </c>
      <c r="C2444">
        <v>1</v>
      </c>
      <c r="D2444">
        <v>2793.1679999999997</v>
      </c>
    </row>
    <row r="2445" spans="1:4">
      <c r="A2445" t="str">
        <f>"25060-1CB0C"</f>
        <v>25060-1CB0C</v>
      </c>
      <c r="B2445" t="str">
        <f>"Датчик уровня топлив"</f>
        <v>Датчик уровня топлив</v>
      </c>
      <c r="C2445">
        <v>1</v>
      </c>
      <c r="D2445">
        <v>5696.4960000000001</v>
      </c>
    </row>
    <row r="2446" spans="1:4">
      <c r="A2446" t="str">
        <f>"25060-1CB1C"</f>
        <v>25060-1CB1C</v>
      </c>
      <c r="B2446" t="str">
        <f>"Датчик уровня топлив"</f>
        <v>Датчик уровня топлив</v>
      </c>
      <c r="C2446">
        <v>1</v>
      </c>
      <c r="D2446">
        <v>5546.3519999999999</v>
      </c>
    </row>
    <row r="2447" spans="1:4">
      <c r="A2447" t="str">
        <f>"25060-2Y501"</f>
        <v>25060-2Y501</v>
      </c>
      <c r="B2447" t="str">
        <f>"SENDER UNIT"</f>
        <v>SENDER UNIT</v>
      </c>
      <c r="C2447">
        <v>7</v>
      </c>
      <c r="D2447">
        <v>5017.1759999999995</v>
      </c>
    </row>
    <row r="2448" spans="1:4">
      <c r="A2448" t="str">
        <f>"25060-8H31A"</f>
        <v>25060-8H31A</v>
      </c>
      <c r="B2448" t="str">
        <f t="shared" ref="B2448:B2456" si="42">"Датчик уровня топлив"</f>
        <v>Датчик уровня топлив</v>
      </c>
      <c r="C2448">
        <v>3</v>
      </c>
      <c r="D2448">
        <v>4094.6879999999996</v>
      </c>
    </row>
    <row r="2449" spans="1:4">
      <c r="A2449" t="str">
        <f>"25060-8H31B"</f>
        <v>25060-8H31B</v>
      </c>
      <c r="B2449" t="str">
        <f t="shared" si="42"/>
        <v>Датчик уровня топлив</v>
      </c>
      <c r="C2449">
        <v>1</v>
      </c>
      <c r="D2449">
        <v>4064.4959999999996</v>
      </c>
    </row>
    <row r="2450" spans="1:4">
      <c r="A2450" t="str">
        <f>"25060-9Y01A"</f>
        <v>25060-9Y01A</v>
      </c>
      <c r="B2450" t="str">
        <f t="shared" si="42"/>
        <v>Датчик уровня топлив</v>
      </c>
      <c r="C2450">
        <v>1</v>
      </c>
      <c r="D2450">
        <v>5173.0319999999992</v>
      </c>
    </row>
    <row r="2451" spans="1:4">
      <c r="A2451" t="str">
        <f>"25060-CA010"</f>
        <v>25060-CA010</v>
      </c>
      <c r="B2451" t="str">
        <f t="shared" si="42"/>
        <v>Датчик уровня топлив</v>
      </c>
      <c r="C2451">
        <v>6</v>
      </c>
      <c r="D2451">
        <v>4632.0239999999994</v>
      </c>
    </row>
    <row r="2452" spans="1:4">
      <c r="A2452" t="str">
        <f>"25060-CG00E"</f>
        <v>25060-CG00E</v>
      </c>
      <c r="B2452" t="str">
        <f t="shared" si="42"/>
        <v>Датчик уровня топлив</v>
      </c>
      <c r="C2452">
        <v>4</v>
      </c>
      <c r="D2452">
        <v>5362.7519999999995</v>
      </c>
    </row>
    <row r="2453" spans="1:4">
      <c r="A2453" t="str">
        <f>"25060-CX000"</f>
        <v>25060-CX000</v>
      </c>
      <c r="B2453" t="str">
        <f t="shared" si="42"/>
        <v>Датчик уровня топлив</v>
      </c>
      <c r="C2453">
        <v>0</v>
      </c>
      <c r="D2453">
        <v>5346.0240000000003</v>
      </c>
    </row>
    <row r="2454" spans="1:4">
      <c r="A2454" t="str">
        <f>"25060-EB30A"</f>
        <v>25060-EB30A</v>
      </c>
      <c r="B2454" t="str">
        <f t="shared" si="42"/>
        <v>Датчик уровня топлив</v>
      </c>
      <c r="C2454">
        <v>0</v>
      </c>
      <c r="D2454">
        <v>7077.5759999999991</v>
      </c>
    </row>
    <row r="2455" spans="1:4">
      <c r="A2455" t="str">
        <f>"25060-JD00A"</f>
        <v>25060-JD00A</v>
      </c>
      <c r="B2455" t="str">
        <f t="shared" si="42"/>
        <v>Датчик уровня топлив</v>
      </c>
      <c r="C2455">
        <v>2</v>
      </c>
      <c r="D2455">
        <v>5267.28</v>
      </c>
    </row>
    <row r="2456" spans="1:4">
      <c r="A2456" t="str">
        <f>"25060-JG70D"</f>
        <v>25060-JG70D</v>
      </c>
      <c r="B2456" t="str">
        <f t="shared" si="42"/>
        <v>Датчик уровня топлив</v>
      </c>
      <c r="C2456">
        <v>2</v>
      </c>
      <c r="D2456">
        <v>4565.5199999999995</v>
      </c>
    </row>
    <row r="2457" spans="1:4">
      <c r="A2457" t="str">
        <f>"25060-VB412"</f>
        <v>25060-VB412</v>
      </c>
      <c r="B2457" t="str">
        <f>"SENDER UNIT"</f>
        <v>SENDER UNIT</v>
      </c>
      <c r="C2457">
        <v>0</v>
      </c>
      <c r="D2457">
        <v>6206.0879999999997</v>
      </c>
    </row>
    <row r="2458" spans="1:4">
      <c r="A2458" t="str">
        <f>"25070-0Y710"</f>
        <v>25070-0Y710</v>
      </c>
      <c r="B2458" t="str">
        <f>"SENDING UNIT"</f>
        <v>SENDING UNIT</v>
      </c>
      <c r="C2458">
        <v>3</v>
      </c>
      <c r="D2458">
        <v>2522.2559999999999</v>
      </c>
    </row>
    <row r="2459" spans="1:4">
      <c r="A2459" t="str">
        <f>"25070-CD00A"</f>
        <v>25070-CD00A</v>
      </c>
      <c r="B2459" t="str">
        <f>"Датчик давления масл"</f>
        <v>Датчик давления масл</v>
      </c>
      <c r="C2459">
        <v>5</v>
      </c>
      <c r="D2459">
        <v>1689.528</v>
      </c>
    </row>
    <row r="2460" spans="1:4">
      <c r="A2460" t="str">
        <f>"25080-70J00"</f>
        <v>25080-70J00</v>
      </c>
      <c r="B2460" t="str">
        <f>"GAUGE ENG TEMP"</f>
        <v>GAUGE ENG TEMP</v>
      </c>
      <c r="C2460">
        <v>3</v>
      </c>
      <c r="D2460">
        <v>960.43200000000002</v>
      </c>
    </row>
    <row r="2461" spans="1:4">
      <c r="A2461" t="str">
        <f>"25080-89907"</f>
        <v>25080-89907</v>
      </c>
      <c r="B2461" t="str">
        <f>"SENSOR"</f>
        <v>SENSOR</v>
      </c>
      <c r="C2461">
        <v>10</v>
      </c>
      <c r="D2461">
        <v>498.57600000000002</v>
      </c>
    </row>
    <row r="2462" spans="1:4">
      <c r="A2462" t="str">
        <f>"25080-9F900"</f>
        <v>25080-9F900</v>
      </c>
      <c r="B2462" t="str">
        <f>"SENSOR-TEMPERAT"</f>
        <v>SENSOR-TEMPERAT</v>
      </c>
      <c r="C2462">
        <v>3</v>
      </c>
      <c r="D2462">
        <v>922.89599999999996</v>
      </c>
    </row>
    <row r="2463" spans="1:4">
      <c r="A2463" t="str">
        <f>"25169-0N000"</f>
        <v>25169-0N000</v>
      </c>
      <c r="B2463" t="str">
        <f>"BULB"</f>
        <v>BULB</v>
      </c>
      <c r="C2463">
        <v>3</v>
      </c>
      <c r="D2463">
        <v>179.11199999999999</v>
      </c>
    </row>
    <row r="2464" spans="1:4">
      <c r="A2464" t="str">
        <f>"25169-0N001"</f>
        <v>25169-0N001</v>
      </c>
      <c r="B2464" t="str">
        <f>"BULB"</f>
        <v>BULB</v>
      </c>
      <c r="C2464">
        <v>4</v>
      </c>
      <c r="D2464">
        <v>179.928</v>
      </c>
    </row>
    <row r="2465" spans="1:4">
      <c r="A2465" t="str">
        <f>"25169-62C00"</f>
        <v>25169-62C00</v>
      </c>
      <c r="B2465" t="str">
        <f>"BULB"</f>
        <v>BULB</v>
      </c>
      <c r="C2465">
        <v>4</v>
      </c>
      <c r="D2465">
        <v>183.19199999999998</v>
      </c>
    </row>
    <row r="2466" spans="1:4">
      <c r="A2466" t="str">
        <f>"25210-JE20A"</f>
        <v>25210-JE20A</v>
      </c>
      <c r="B2466" t="str">
        <f>"Реле замка багажника"</f>
        <v>Реле замка багажника</v>
      </c>
      <c r="C2466">
        <v>3</v>
      </c>
      <c r="D2466">
        <v>867.40800000000002</v>
      </c>
    </row>
    <row r="2467" spans="1:4">
      <c r="A2467" t="str">
        <f>"25230-18A0A"</f>
        <v>25230-18A0A</v>
      </c>
      <c r="B2467" t="str">
        <f>"Реле свечей накалива"</f>
        <v>Реле свечей накалива</v>
      </c>
      <c r="C2467">
        <v>15</v>
      </c>
      <c r="D2467">
        <v>782.952</v>
      </c>
    </row>
    <row r="2468" spans="1:4">
      <c r="A2468" t="str">
        <f>"25230-22J01"</f>
        <v>25230-22J01</v>
      </c>
      <c r="B2468" t="str">
        <f>"RELAY ASSY-GLOW"</f>
        <v>RELAY ASSY-GLOW</v>
      </c>
      <c r="C2468">
        <v>7</v>
      </c>
      <c r="D2468">
        <v>1135.4639999999999</v>
      </c>
    </row>
    <row r="2469" spans="1:4">
      <c r="A2469" t="str">
        <f>"25230-6K201"</f>
        <v>25230-6K201</v>
      </c>
      <c r="B2469" t="str">
        <f>"RELAY-1M"</f>
        <v>RELAY-1M</v>
      </c>
      <c r="C2469">
        <v>15</v>
      </c>
      <c r="D2469">
        <v>164.42400000000001</v>
      </c>
    </row>
    <row r="2470" spans="1:4">
      <c r="A2470" t="str">
        <f>"25230-79917"</f>
        <v>25230-79917</v>
      </c>
      <c r="B2470" t="str">
        <f>"RELAY"</f>
        <v>RELAY</v>
      </c>
      <c r="C2470">
        <v>15</v>
      </c>
      <c r="D2470">
        <v>443.904</v>
      </c>
    </row>
    <row r="2471" spans="1:4">
      <c r="A2471" t="str">
        <f>"25230-79918"</f>
        <v>25230-79918</v>
      </c>
      <c r="B2471" t="str">
        <f>"Реле омывателя"</f>
        <v>Реле омывателя</v>
      </c>
      <c r="C2471">
        <v>2</v>
      </c>
      <c r="D2471">
        <v>459.81599999999997</v>
      </c>
    </row>
    <row r="2472" spans="1:4">
      <c r="A2472" t="str">
        <f>"25230-79942"</f>
        <v>25230-79942</v>
      </c>
      <c r="B2472" t="str">
        <f>"RELAY"</f>
        <v>RELAY</v>
      </c>
      <c r="C2472">
        <v>0</v>
      </c>
      <c r="D2472">
        <v>461.03999999999996</v>
      </c>
    </row>
    <row r="2473" spans="1:4">
      <c r="A2473" t="str">
        <f>"25230-7996A"</f>
        <v>25230-7996A</v>
      </c>
      <c r="B2473" t="str">
        <f>"Реле обогрева стекла"</f>
        <v>Реле обогрева стекла</v>
      </c>
      <c r="C2473">
        <v>33</v>
      </c>
      <c r="D2473">
        <v>410.03999999999996</v>
      </c>
    </row>
    <row r="2474" spans="1:4">
      <c r="A2474" t="str">
        <f>"25230-80A0A"</f>
        <v>25230-80A0A</v>
      </c>
      <c r="B2474" t="str">
        <f>"Реле свечей накалива"</f>
        <v>Реле свечей накалива</v>
      </c>
      <c r="C2474">
        <v>15</v>
      </c>
      <c r="D2474">
        <v>858.84</v>
      </c>
    </row>
    <row r="2475" spans="1:4">
      <c r="A2475" t="str">
        <f>"25230-9F905"</f>
        <v>25230-9F905</v>
      </c>
      <c r="B2475" t="str">
        <f>"RELAY"</f>
        <v>RELAY</v>
      </c>
      <c r="C2475">
        <v>9</v>
      </c>
      <c r="D2475">
        <v>458.59200000000004</v>
      </c>
    </row>
    <row r="2476" spans="1:4">
      <c r="A2476" t="str">
        <f>"25230-9F915"</f>
        <v>25230-9F915</v>
      </c>
      <c r="B2476" t="str">
        <f>"RELAY"</f>
        <v>RELAY</v>
      </c>
      <c r="C2476">
        <v>20</v>
      </c>
      <c r="D2476">
        <v>401.47199999999998</v>
      </c>
    </row>
    <row r="2477" spans="1:4">
      <c r="A2477" t="str">
        <f>"25230-9F920"</f>
        <v>25230-9F920</v>
      </c>
      <c r="B2477" t="str">
        <f>"RELAY"</f>
        <v>RELAY</v>
      </c>
      <c r="C2477">
        <v>4</v>
      </c>
      <c r="D2477">
        <v>466.34399999999999</v>
      </c>
    </row>
    <row r="2478" spans="1:4">
      <c r="A2478" t="str">
        <f>"25230-C996B"</f>
        <v>25230-C996B</v>
      </c>
      <c r="B2478" t="str">
        <f>"Реле стартера"</f>
        <v>Реле стартера</v>
      </c>
      <c r="C2478">
        <v>2</v>
      </c>
      <c r="D2478">
        <v>402.28800000000001</v>
      </c>
    </row>
    <row r="2479" spans="1:4">
      <c r="A2479" t="str">
        <f>"25240-2X901"</f>
        <v>25240-2X901</v>
      </c>
      <c r="B2479" t="str">
        <f>"SW OIL PRESSURE"</f>
        <v>SW OIL PRESSURE</v>
      </c>
      <c r="C2479">
        <v>6</v>
      </c>
      <c r="D2479">
        <v>436.56</v>
      </c>
    </row>
    <row r="2480" spans="1:4">
      <c r="A2480" t="str">
        <f>"25240-4M40E"</f>
        <v>25240-4M40E</v>
      </c>
      <c r="B2480" t="str">
        <f>"Датчик давления масл"</f>
        <v>Датчик давления масл</v>
      </c>
      <c r="C2480">
        <v>18</v>
      </c>
      <c r="D2480">
        <v>439.82399999999996</v>
      </c>
    </row>
    <row r="2481" spans="1:4">
      <c r="A2481" t="str">
        <f>"25240-8996E"</f>
        <v>25240-8996E</v>
      </c>
      <c r="B2481" t="str">
        <f>"Датчик давления масл"</f>
        <v>Датчик давления масл</v>
      </c>
      <c r="C2481">
        <v>64</v>
      </c>
      <c r="D2481">
        <v>441.048</v>
      </c>
    </row>
    <row r="2482" spans="1:4">
      <c r="A2482" t="str">
        <f>"25240-G240A"</f>
        <v>25240-G240A</v>
      </c>
      <c r="B2482" t="str">
        <f>"Датчик давления масл"</f>
        <v>Датчик давления масл</v>
      </c>
      <c r="C2482">
        <v>6</v>
      </c>
      <c r="D2482">
        <v>563.85599999999999</v>
      </c>
    </row>
    <row r="2483" spans="1:4">
      <c r="A2483" t="str">
        <f>"25260-2Y900"</f>
        <v>25260-2Y900</v>
      </c>
      <c r="B2483" t="str">
        <f>"SWITCH ASSY"</f>
        <v>SWITCH ASSY</v>
      </c>
      <c r="C2483">
        <v>3</v>
      </c>
      <c r="D2483">
        <v>1459.8239999999998</v>
      </c>
    </row>
    <row r="2484" spans="1:4">
      <c r="A2484" t="str">
        <f>"25260-95F0A"</f>
        <v>25260-95F0A</v>
      </c>
      <c r="B2484" t="str">
        <f>"Переключатель щеток "</f>
        <v xml:space="preserve">Переключатель щеток </v>
      </c>
      <c r="C2484">
        <v>5</v>
      </c>
      <c r="D2484">
        <v>1538.1599999999999</v>
      </c>
    </row>
    <row r="2485" spans="1:4">
      <c r="A2485" t="str">
        <f>"25260-AV710"</f>
        <v>25260-AV710</v>
      </c>
      <c r="B2485" t="str">
        <f>"SWITCH ASSY-WIP"</f>
        <v>SWITCH ASSY-WIP</v>
      </c>
      <c r="C2485">
        <v>12</v>
      </c>
      <c r="D2485">
        <v>2940.0479999999998</v>
      </c>
    </row>
    <row r="2486" spans="1:4">
      <c r="A2486" t="str">
        <f>"25260-CA000"</f>
        <v>25260-CA000</v>
      </c>
      <c r="B2486" t="str">
        <f>"Переключатель щеток "</f>
        <v xml:space="preserve">Переключатель щеток </v>
      </c>
      <c r="C2486">
        <v>1</v>
      </c>
      <c r="D2486">
        <v>2241.5520000000001</v>
      </c>
    </row>
    <row r="2487" spans="1:4">
      <c r="A2487" t="str">
        <f>"25260-JG44A"</f>
        <v>25260-JG44A</v>
      </c>
      <c r="B2487" t="str">
        <f>"Переключатель подрул"</f>
        <v>Переключатель подрул</v>
      </c>
      <c r="C2487">
        <v>3</v>
      </c>
      <c r="D2487">
        <v>1542.24</v>
      </c>
    </row>
    <row r="2488" spans="1:4">
      <c r="A2488" t="str">
        <f>"25300-4M400"</f>
        <v>25300-4M400</v>
      </c>
      <c r="B2488" t="str">
        <f>"Реле"</f>
        <v>Реле</v>
      </c>
      <c r="C2488">
        <v>1</v>
      </c>
      <c r="D2488">
        <v>626.28</v>
      </c>
    </row>
    <row r="2489" spans="1:4">
      <c r="A2489" t="str">
        <f>"25300-AT300"</f>
        <v>25300-AT300</v>
      </c>
      <c r="B2489" t="str">
        <f>"Переключатель педаль"</f>
        <v>Переключатель педаль</v>
      </c>
      <c r="C2489">
        <v>12</v>
      </c>
      <c r="D2489">
        <v>504.69599999999997</v>
      </c>
    </row>
    <row r="2490" spans="1:4">
      <c r="A2490" t="str">
        <f>"25320-4M400"</f>
        <v>25320-4M400</v>
      </c>
      <c r="B2490" t="str">
        <f>"SW STOP LAMP 99"</f>
        <v>SW STOP LAMP 99</v>
      </c>
      <c r="C2490">
        <v>20</v>
      </c>
      <c r="D2490">
        <v>398.61599999999999</v>
      </c>
    </row>
    <row r="2491" spans="1:4">
      <c r="A2491" t="str">
        <f>"25320-4M405"</f>
        <v>25320-4M405</v>
      </c>
      <c r="B2491" t="str">
        <f>"SWITCH ASSY-STO"</f>
        <v>SWITCH ASSY-STO</v>
      </c>
      <c r="C2491">
        <v>16</v>
      </c>
      <c r="D2491">
        <v>60.791999999999994</v>
      </c>
    </row>
    <row r="2492" spans="1:4">
      <c r="A2492" t="str">
        <f>"25320-70J00"</f>
        <v>25320-70J00</v>
      </c>
      <c r="B2492" t="str">
        <f>"SWITCH ASSY-STO"</f>
        <v>SWITCH ASSY-STO</v>
      </c>
      <c r="C2492">
        <v>9</v>
      </c>
      <c r="D2492">
        <v>513.26400000000001</v>
      </c>
    </row>
    <row r="2493" spans="1:4">
      <c r="A2493" t="str">
        <f>"25320-75A0E"</f>
        <v>25320-75A0E</v>
      </c>
      <c r="B2493" t="str">
        <f>"Переключатель стоп с"</f>
        <v>Переключатель стоп с</v>
      </c>
      <c r="C2493">
        <v>19</v>
      </c>
      <c r="D2493">
        <v>253.77599999999998</v>
      </c>
    </row>
    <row r="2494" spans="1:4">
      <c r="A2494" t="str">
        <f>"25320-AX00C"</f>
        <v>25320-AX00C</v>
      </c>
      <c r="B2494" t="str">
        <f>"Переключатель стоп с"</f>
        <v>Переключатель стоп с</v>
      </c>
      <c r="C2494">
        <v>44</v>
      </c>
      <c r="D2494">
        <v>701.75999999999988</v>
      </c>
    </row>
    <row r="2495" spans="1:4">
      <c r="A2495" t="str">
        <f>"25331-2Y90A"</f>
        <v>25331-2Y90A</v>
      </c>
      <c r="B2495" t="str">
        <f>"Патрон лампочки"</f>
        <v>Патрон лампочки</v>
      </c>
      <c r="C2495">
        <v>2</v>
      </c>
      <c r="D2495">
        <v>669.12</v>
      </c>
    </row>
    <row r="2496" spans="1:4">
      <c r="A2496" t="str">
        <f>"25331-4F100"</f>
        <v>25331-4F100</v>
      </c>
      <c r="B2496" t="str">
        <f>"LIGHTER COMPL-C"</f>
        <v>LIGHTER COMPL-C</v>
      </c>
      <c r="C2496">
        <v>0</v>
      </c>
      <c r="D2496">
        <v>760.92</v>
      </c>
    </row>
    <row r="2497" spans="1:4">
      <c r="A2497" t="str">
        <f>"25331-AD001"</f>
        <v>25331-AD001</v>
      </c>
      <c r="B2497" t="str">
        <f>"LIGHTER COMP"</f>
        <v>LIGHTER COMP</v>
      </c>
      <c r="C2497">
        <v>6</v>
      </c>
      <c r="D2497">
        <v>612</v>
      </c>
    </row>
    <row r="2498" spans="1:4">
      <c r="A2498" t="str">
        <f>"25331-AV60A"</f>
        <v>25331-AV60A</v>
      </c>
      <c r="B2498" t="str">
        <f>"Прикуриватель"</f>
        <v>Прикуриватель</v>
      </c>
      <c r="C2498">
        <v>5</v>
      </c>
      <c r="D2498">
        <v>631.99199999999996</v>
      </c>
    </row>
    <row r="2499" spans="1:4">
      <c r="A2499" t="str">
        <f>"25331-AX612"</f>
        <v>25331-AX612</v>
      </c>
      <c r="B2499" t="str">
        <f>"Прикуриватель"</f>
        <v>Прикуриватель</v>
      </c>
      <c r="C2499">
        <v>1</v>
      </c>
      <c r="D2499">
        <v>964.51199999999994</v>
      </c>
    </row>
    <row r="2500" spans="1:4">
      <c r="A2500" t="str">
        <f>"25335-89900"</f>
        <v>25335-89900</v>
      </c>
      <c r="B2500" t="str">
        <f>"ELEMENT LIGHTER"</f>
        <v>ELEMENT LIGHTER</v>
      </c>
      <c r="C2500">
        <v>3</v>
      </c>
      <c r="D2500">
        <v>453.69599999999997</v>
      </c>
    </row>
    <row r="2501" spans="1:4">
      <c r="A2501" t="str">
        <f>"25335-AA001"</f>
        <v>25335-AA001</v>
      </c>
      <c r="B2501" t="str">
        <f>"ELEMENT LIGHTER"</f>
        <v>ELEMENT LIGHTER</v>
      </c>
      <c r="C2501">
        <v>11</v>
      </c>
      <c r="D2501">
        <v>437.37600000000003</v>
      </c>
    </row>
    <row r="2502" spans="1:4">
      <c r="A2502" t="str">
        <f>"25335-AD001"</f>
        <v>25335-AD001</v>
      </c>
      <c r="B2502" t="str">
        <f>"ELEMENT LIGHTER"</f>
        <v>ELEMENT LIGHTER</v>
      </c>
      <c r="C2502">
        <v>8</v>
      </c>
      <c r="D2502">
        <v>450.84</v>
      </c>
    </row>
    <row r="2503" spans="1:4">
      <c r="A2503" t="str">
        <f>"25335-Q9000"</f>
        <v>25335-Q9000</v>
      </c>
      <c r="B2503" t="str">
        <f>"KNOB CIG LIGHT"</f>
        <v>KNOB CIG LIGHT</v>
      </c>
      <c r="C2503">
        <v>4</v>
      </c>
      <c r="D2503">
        <v>484.29599999999994</v>
      </c>
    </row>
    <row r="2504" spans="1:4">
      <c r="A2504" t="str">
        <f>"25336-79903"</f>
        <v>25336-79903</v>
      </c>
      <c r="B2504" t="str">
        <f>"Корпус прикуривателя"</f>
        <v>Корпус прикуривателя</v>
      </c>
      <c r="C2504">
        <v>10</v>
      </c>
      <c r="D2504">
        <v>264.79199999999997</v>
      </c>
    </row>
    <row r="2505" spans="1:4">
      <c r="A2505" t="str">
        <f>"25339-2F000"</f>
        <v>25339-2F000</v>
      </c>
      <c r="B2505" t="str">
        <f>"RING"</f>
        <v>RING</v>
      </c>
      <c r="C2505">
        <v>3</v>
      </c>
      <c r="D2505">
        <v>229.29600000000002</v>
      </c>
    </row>
    <row r="2506" spans="1:4">
      <c r="A2506" t="str">
        <f>"25360-41L01"</f>
        <v>25360-41L01</v>
      </c>
      <c r="B2506" t="str">
        <f>"SW ASSY ANTENNA"</f>
        <v>SW ASSY ANTENNA</v>
      </c>
      <c r="C2506">
        <v>17</v>
      </c>
      <c r="D2506">
        <v>318.23999999999995</v>
      </c>
    </row>
    <row r="2507" spans="1:4">
      <c r="A2507" t="str">
        <f>"25360-70J00"</f>
        <v>25360-70J00</v>
      </c>
      <c r="B2507" t="str">
        <f>"SW ASSY-DOOR"</f>
        <v>SW ASSY-DOOR</v>
      </c>
      <c r="C2507">
        <v>7</v>
      </c>
      <c r="D2507">
        <v>666.67199999999991</v>
      </c>
    </row>
    <row r="2508" spans="1:4">
      <c r="A2508" t="str">
        <f>"25360-70J10"</f>
        <v>25360-70J10</v>
      </c>
      <c r="B2508" t="str">
        <f>"SW ASSY-DOOR"</f>
        <v>SW ASSY-DOOR</v>
      </c>
      <c r="C2508">
        <v>8</v>
      </c>
      <c r="D2508">
        <v>802.12800000000004</v>
      </c>
    </row>
    <row r="2509" spans="1:4">
      <c r="A2509" t="str">
        <f>"25360-95F0B"</f>
        <v>25360-95F0B</v>
      </c>
      <c r="B2509" t="str">
        <f>"Переключатель открыт"</f>
        <v>Переключатель открыт</v>
      </c>
      <c r="C2509">
        <v>0</v>
      </c>
      <c r="D2509">
        <v>308.85599999999999</v>
      </c>
    </row>
    <row r="2510" spans="1:4">
      <c r="A2510" t="str">
        <f>"25360-AD000"</f>
        <v>25360-AD000</v>
      </c>
      <c r="B2510" t="str">
        <f>"SW ASSY-DOOR"</f>
        <v>SW ASSY-DOOR</v>
      </c>
      <c r="C2510">
        <v>10</v>
      </c>
      <c r="D2510">
        <v>317.83199999999999</v>
      </c>
    </row>
    <row r="2511" spans="1:4">
      <c r="A2511" t="str">
        <f>"25360-VG111"</f>
        <v>25360-VG111</v>
      </c>
      <c r="B2511" t="str">
        <f>"SW ASSY-DOOR"</f>
        <v>SW ASSY-DOOR</v>
      </c>
      <c r="C2511">
        <v>10</v>
      </c>
      <c r="D2511">
        <v>342.31199999999995</v>
      </c>
    </row>
    <row r="2512" spans="1:4">
      <c r="A2512" t="str">
        <f>"25360-VJ200"</f>
        <v>25360-VJ200</v>
      </c>
      <c r="B2512" t="str">
        <f>"SWITCH ASSY-DOO"</f>
        <v>SWITCH ASSY-DOO</v>
      </c>
      <c r="C2512">
        <v>12</v>
      </c>
      <c r="D2512">
        <v>328.03199999999998</v>
      </c>
    </row>
    <row r="2513" spans="1:4">
      <c r="A2513" t="str">
        <f>"25362-JH10A"</f>
        <v>25362-JH10A</v>
      </c>
      <c r="B2513" t="str">
        <f>"Переключатель открыт"</f>
        <v>Переключатель открыт</v>
      </c>
      <c r="C2513">
        <v>1</v>
      </c>
      <c r="D2513">
        <v>807.024</v>
      </c>
    </row>
    <row r="2514" spans="1:4">
      <c r="A2514" t="str">
        <f>"25368-20G00"</f>
        <v>25368-20G00</v>
      </c>
      <c r="B2514" t="str">
        <f>"COVER-DOOR SWIT"</f>
        <v>COVER-DOOR SWIT</v>
      </c>
      <c r="C2514">
        <v>16</v>
      </c>
      <c r="D2514">
        <v>100.776</v>
      </c>
    </row>
    <row r="2515" spans="1:4">
      <c r="A2515" t="str">
        <f>"25368-5L300"</f>
        <v>25368-5L300</v>
      </c>
      <c r="B2515" t="str">
        <f>"COVER-DOOR SWIT"</f>
        <v>COVER-DOOR SWIT</v>
      </c>
      <c r="C2515">
        <v>1</v>
      </c>
      <c r="D2515">
        <v>149.73599999999999</v>
      </c>
    </row>
    <row r="2516" spans="1:4">
      <c r="A2516" t="str">
        <f>"25368-6P000"</f>
        <v>25368-6P000</v>
      </c>
      <c r="B2516" t="str">
        <f>"COVER-DOOR SWIT"</f>
        <v>COVER-DOOR SWIT</v>
      </c>
      <c r="C2516">
        <v>26</v>
      </c>
      <c r="D2516">
        <v>107.304</v>
      </c>
    </row>
    <row r="2517" spans="1:4">
      <c r="A2517" t="str">
        <f>"25380-9U00A"</f>
        <v>25380-9U00A</v>
      </c>
      <c r="B2517" t="str">
        <f>"Переключатель открыт"</f>
        <v>Переключатель открыт</v>
      </c>
      <c r="C2517">
        <v>9</v>
      </c>
      <c r="D2517">
        <v>1067.328</v>
      </c>
    </row>
    <row r="2518" spans="1:4">
      <c r="A2518" t="str">
        <f>"25380-AX60B"</f>
        <v>25380-AX60B</v>
      </c>
      <c r="B2518" t="str">
        <f>"Переключатель открыт"</f>
        <v>Переключатель открыт</v>
      </c>
      <c r="C2518">
        <v>15</v>
      </c>
      <c r="D2518">
        <v>1705.44</v>
      </c>
    </row>
    <row r="2519" spans="1:4">
      <c r="A2519" t="str">
        <f>"25384-ZH60A"</f>
        <v>25384-ZH60A</v>
      </c>
      <c r="B2519" t="str">
        <f>"Переключатель пятой "</f>
        <v xml:space="preserve">Переключатель пятой </v>
      </c>
      <c r="C2519">
        <v>1</v>
      </c>
      <c r="D2519">
        <v>3147.3120000000004</v>
      </c>
    </row>
    <row r="2520" spans="1:4">
      <c r="A2520" t="str">
        <f>"25401-2Y910"</f>
        <v>25401-2Y910</v>
      </c>
      <c r="B2520" t="str">
        <f>"SW-AUTO POWER W"</f>
        <v>SW-AUTO POWER W</v>
      </c>
      <c r="C2520">
        <v>4</v>
      </c>
      <c r="D2520">
        <v>3148.1280000000002</v>
      </c>
    </row>
    <row r="2521" spans="1:4">
      <c r="A2521" t="str">
        <f>"25401-4X01D"</f>
        <v>25401-4X01D</v>
      </c>
      <c r="B2521" t="str">
        <f>"Переключатель стекло"</f>
        <v>Переключатель стекло</v>
      </c>
      <c r="C2521">
        <v>2</v>
      </c>
      <c r="D2521">
        <v>4306.4399999999996</v>
      </c>
    </row>
    <row r="2522" spans="1:4">
      <c r="A2522" t="str">
        <f>"25401-8H701"</f>
        <v>25401-8H701</v>
      </c>
      <c r="B2522" t="str">
        <f>"SW-AUTO POWER W"</f>
        <v>SW-AUTO POWER W</v>
      </c>
      <c r="C2522">
        <v>1</v>
      </c>
      <c r="D2522">
        <v>2758.08</v>
      </c>
    </row>
    <row r="2523" spans="1:4">
      <c r="A2523" t="str">
        <f>"25401-9U12B"</f>
        <v>25401-9U12B</v>
      </c>
      <c r="B2523" t="str">
        <f>"Переключатель стекло"</f>
        <v>Переключатель стекло</v>
      </c>
      <c r="C2523">
        <v>1</v>
      </c>
      <c r="D2523">
        <v>2818.056</v>
      </c>
    </row>
    <row r="2524" spans="1:4">
      <c r="A2524" t="str">
        <f>"25401-AV640"</f>
        <v>25401-AV640</v>
      </c>
      <c r="B2524" t="str">
        <f>"SWITCH ASSY-POW"</f>
        <v>SWITCH ASSY-POW</v>
      </c>
      <c r="C2524">
        <v>0</v>
      </c>
      <c r="D2524">
        <v>3224.8319999999999</v>
      </c>
    </row>
    <row r="2525" spans="1:4">
      <c r="A2525" t="str">
        <f>"25401-BB60B"</f>
        <v>25401-BB60B</v>
      </c>
      <c r="B2525" t="str">
        <f>"Переключатель стекло"</f>
        <v>Переключатель стекло</v>
      </c>
      <c r="C2525">
        <v>0</v>
      </c>
      <c r="D2525">
        <v>2587.5360000000001</v>
      </c>
    </row>
    <row r="2526" spans="1:4">
      <c r="A2526" t="str">
        <f>"25401-EL30A"</f>
        <v>25401-EL30A</v>
      </c>
      <c r="B2526" t="str">
        <f>"Переключатель стекло"</f>
        <v>Переключатель стекло</v>
      </c>
      <c r="C2526">
        <v>0</v>
      </c>
      <c r="D2526">
        <v>2008.992</v>
      </c>
    </row>
    <row r="2527" spans="1:4">
      <c r="A2527" t="str">
        <f>"25401-JG43A"</f>
        <v>25401-JG43A</v>
      </c>
      <c r="B2527" t="str">
        <f>"Переключатель стекло"</f>
        <v>Переключатель стекло</v>
      </c>
      <c r="C2527">
        <v>0</v>
      </c>
      <c r="D2527">
        <v>2872.3199999999997</v>
      </c>
    </row>
    <row r="2528" spans="1:4">
      <c r="A2528" t="str">
        <f>"25411-0V000"</f>
        <v>25411-0V000</v>
      </c>
      <c r="B2528" t="str">
        <f>"SW ASSY-P/WINDW"</f>
        <v>SW ASSY-P/WINDW</v>
      </c>
      <c r="C2528">
        <v>5</v>
      </c>
      <c r="D2528">
        <v>981.64799999999991</v>
      </c>
    </row>
    <row r="2529" spans="1:4">
      <c r="A2529" t="str">
        <f>"25411-2F025"</f>
        <v>25411-2F025</v>
      </c>
      <c r="B2529" t="str">
        <f>"SW ASSY-P/WINDW"</f>
        <v>SW ASSY-P/WINDW</v>
      </c>
      <c r="C2529">
        <v>1</v>
      </c>
      <c r="D2529">
        <v>884.952</v>
      </c>
    </row>
    <row r="2530" spans="1:4">
      <c r="A2530" t="str">
        <f>"25411-AX010"</f>
        <v>25411-AX010</v>
      </c>
      <c r="B2530" t="str">
        <f>"Кнопка стеклоподъемн"</f>
        <v>Кнопка стеклоподъемн</v>
      </c>
      <c r="C2530">
        <v>1</v>
      </c>
      <c r="D2530">
        <v>931.87199999999984</v>
      </c>
    </row>
    <row r="2531" spans="1:4">
      <c r="A2531" t="str">
        <f>"25411-BR00A"</f>
        <v>25411-BR00A</v>
      </c>
      <c r="B2531" t="str">
        <f>"Переключатель стекло"</f>
        <v>Переключатель стекло</v>
      </c>
      <c r="C2531">
        <v>1</v>
      </c>
      <c r="D2531">
        <v>843.3359999999999</v>
      </c>
    </row>
    <row r="2532" spans="1:4">
      <c r="A2532" t="str">
        <f>"25500-50Y00"</f>
        <v>25500-50Y00</v>
      </c>
      <c r="B2532" t="str">
        <f>"SWITCH ASSY-SEA"</f>
        <v>SWITCH ASSY-SEA</v>
      </c>
      <c r="C2532">
        <v>8</v>
      </c>
      <c r="D2532">
        <v>523.05599999999993</v>
      </c>
    </row>
    <row r="2533" spans="1:4">
      <c r="A2533" t="str">
        <f>"25500-50Y10"</f>
        <v>25500-50Y10</v>
      </c>
      <c r="B2533" t="str">
        <f>"SWITCH ASSY-SEA"</f>
        <v>SWITCH ASSY-SEA</v>
      </c>
      <c r="C2533">
        <v>11</v>
      </c>
      <c r="D2533">
        <v>522.24</v>
      </c>
    </row>
    <row r="2534" spans="1:4">
      <c r="A2534" t="str">
        <f>"25500-95F0A"</f>
        <v>25500-95F0A</v>
      </c>
      <c r="B2534" t="str">
        <f>"Включатель обогрева "</f>
        <v xml:space="preserve">Включатель обогрева </v>
      </c>
      <c r="C2534">
        <v>0</v>
      </c>
      <c r="D2534">
        <v>849.04799999999989</v>
      </c>
    </row>
    <row r="2535" spans="1:4">
      <c r="A2535" t="str">
        <f>"25500-AX600"</f>
        <v>25500-AX600</v>
      </c>
      <c r="B2535" t="str">
        <f>"Включатель обогрева "</f>
        <v xml:space="preserve">Включатель обогрева </v>
      </c>
      <c r="C2535">
        <v>5</v>
      </c>
      <c r="D2535">
        <v>843.74400000000003</v>
      </c>
    </row>
    <row r="2536" spans="1:4">
      <c r="A2536" t="str">
        <f>"25500-JA01A"</f>
        <v>25500-JA01A</v>
      </c>
      <c r="B2536" t="str">
        <f>"Включатель подогрева"</f>
        <v>Включатель подогрева</v>
      </c>
      <c r="C2536">
        <v>0</v>
      </c>
      <c r="D2536">
        <v>733.99199999999996</v>
      </c>
    </row>
    <row r="2537" spans="1:4">
      <c r="A2537" t="str">
        <f>"25500-JD01A"</f>
        <v>25500-JD01A</v>
      </c>
      <c r="B2537" t="str">
        <f>"Включатель обогр"</f>
        <v>Включатель обогр</v>
      </c>
      <c r="C2537">
        <v>0</v>
      </c>
      <c r="D2537">
        <v>782.13599999999997</v>
      </c>
    </row>
    <row r="2538" spans="1:4">
      <c r="A2538" t="str">
        <f>"25530-AX600"</f>
        <v>25530-AX600</v>
      </c>
      <c r="B2538" t="str">
        <f>"SW ASSY-HEAD LA"</f>
        <v>SW ASSY-HEAD LA</v>
      </c>
      <c r="C2538">
        <v>17</v>
      </c>
      <c r="D2538">
        <v>719.30399999999997</v>
      </c>
    </row>
    <row r="2539" spans="1:4">
      <c r="A2539" t="str">
        <f>"25540-0F100"</f>
        <v>25540-0F100</v>
      </c>
      <c r="B2539" t="str">
        <f>"SWITCH ASSY-TUR"</f>
        <v>SWITCH ASSY-TUR</v>
      </c>
      <c r="C2539">
        <v>8</v>
      </c>
      <c r="D2539">
        <v>3180.36</v>
      </c>
    </row>
    <row r="2540" spans="1:4">
      <c r="A2540" t="str">
        <f>"25540-95F0C"</f>
        <v>25540-95F0C</v>
      </c>
      <c r="B2540" t="str">
        <f>"Переключатель указат"</f>
        <v>Переключатель указат</v>
      </c>
      <c r="C2540">
        <v>0</v>
      </c>
      <c r="D2540">
        <v>1044.8879999999999</v>
      </c>
    </row>
    <row r="2541" spans="1:4">
      <c r="A2541" t="str">
        <f>"25540-95F0D"</f>
        <v>25540-95F0D</v>
      </c>
      <c r="B2541" t="str">
        <f>"Подрулевой переключа"</f>
        <v>Подрулевой переключа</v>
      </c>
      <c r="C2541">
        <v>1</v>
      </c>
      <c r="D2541">
        <v>1018.776</v>
      </c>
    </row>
    <row r="2542" spans="1:4">
      <c r="A2542" t="str">
        <f>"25540-EB301"</f>
        <v>25540-EB301</v>
      </c>
      <c r="B2542" t="str">
        <f>"Подрулевой переключа"</f>
        <v>Подрулевой переключа</v>
      </c>
      <c r="C2542">
        <v>6</v>
      </c>
      <c r="D2542">
        <v>2419.0319999999997</v>
      </c>
    </row>
    <row r="2543" spans="1:4">
      <c r="A2543" t="str">
        <f>"25540-EM00E"</f>
        <v>25540-EM00E</v>
      </c>
      <c r="B2543" t="str">
        <f>"Переключатель указат"</f>
        <v>Переключатель указат</v>
      </c>
      <c r="C2543">
        <v>0</v>
      </c>
      <c r="D2543">
        <v>1501.0319999999999</v>
      </c>
    </row>
    <row r="2544" spans="1:4">
      <c r="A2544" t="str">
        <f>"25540-EM04E"</f>
        <v>25540-EM04E</v>
      </c>
      <c r="B2544" t="str">
        <f>"Переключатель подрул"</f>
        <v>Переключатель подрул</v>
      </c>
      <c r="C2544">
        <v>0</v>
      </c>
      <c r="D2544">
        <v>1584.2639999999999</v>
      </c>
    </row>
    <row r="2545" spans="1:4">
      <c r="A2545" t="str">
        <f>"25540-JD03A"</f>
        <v>25540-JD03A</v>
      </c>
      <c r="B2545" t="str">
        <f>"Переключатель указат"</f>
        <v>Переключатель указат</v>
      </c>
      <c r="C2545">
        <v>1</v>
      </c>
      <c r="D2545">
        <v>2753.5919999999996</v>
      </c>
    </row>
    <row r="2546" spans="1:4">
      <c r="A2546" t="str">
        <f>"25550-4X01C"</f>
        <v>25550-4X01C</v>
      </c>
      <c r="B2546" t="str">
        <f>"Переключатель подрул"</f>
        <v>Переключатель подрул</v>
      </c>
      <c r="C2546">
        <v>6</v>
      </c>
      <c r="D2546">
        <v>3770.328</v>
      </c>
    </row>
    <row r="2547" spans="1:4">
      <c r="A2547" t="str">
        <f>"25552-VC000"</f>
        <v>25552-VC000</v>
      </c>
      <c r="B2547" t="str">
        <f>"SWITCH ASSY"</f>
        <v>SWITCH ASSY</v>
      </c>
      <c r="C2547">
        <v>2</v>
      </c>
      <c r="D2547">
        <v>3521.8560000000002</v>
      </c>
    </row>
    <row r="2548" spans="1:4">
      <c r="A2548" t="str">
        <f>"25554-95F0B"</f>
        <v>25554-95F0B</v>
      </c>
      <c r="B2548" t="str">
        <f>"Проводка подруле"</f>
        <v>Проводка подруле</v>
      </c>
      <c r="C2548">
        <v>1</v>
      </c>
      <c r="D2548">
        <v>3616.5120000000002</v>
      </c>
    </row>
    <row r="2549" spans="1:4">
      <c r="A2549" t="str">
        <f>"25560-AX700"</f>
        <v>25560-AX700</v>
      </c>
      <c r="B2549" t="str">
        <f>"Переключатель подрул"</f>
        <v>Переключатель подрул</v>
      </c>
      <c r="C2549">
        <v>1</v>
      </c>
      <c r="D2549">
        <v>2795.6159999999995</v>
      </c>
    </row>
    <row r="2550" spans="1:4">
      <c r="A2550" t="str">
        <f>"25560-ZQ16A"</f>
        <v>25560-ZQ16A</v>
      </c>
      <c r="B2550" t="str">
        <f>"SWITCH ASSY-COM"</f>
        <v>SWITCH ASSY-COM</v>
      </c>
      <c r="C2550">
        <v>0</v>
      </c>
      <c r="D2550">
        <v>6159.5759999999991</v>
      </c>
    </row>
    <row r="2551" spans="1:4">
      <c r="A2551" t="str">
        <f>"25567-AV625"</f>
        <v>25567-AV625</v>
      </c>
      <c r="B2551" t="str">
        <f>"BODY-COMBINATIO"</f>
        <v>BODY-COMBINATIO</v>
      </c>
      <c r="C2551">
        <v>2</v>
      </c>
      <c r="D2551">
        <v>3162.8159999999998</v>
      </c>
    </row>
    <row r="2552" spans="1:4">
      <c r="A2552" t="str">
        <f>"25567-BA025"</f>
        <v>25567-BA025</v>
      </c>
      <c r="B2552" t="str">
        <f>"BODY-COMBINATIO"</f>
        <v>BODY-COMBINATIO</v>
      </c>
      <c r="C2552">
        <v>4</v>
      </c>
      <c r="D2552">
        <v>3142.4159999999997</v>
      </c>
    </row>
    <row r="2553" spans="1:4">
      <c r="A2553" t="str">
        <f>"25567-BN825"</f>
        <v>25567-BN825</v>
      </c>
      <c r="B2553" t="str">
        <f>"BODY-COMBINATIO"</f>
        <v>BODY-COMBINATIO</v>
      </c>
      <c r="C2553">
        <v>2</v>
      </c>
      <c r="D2553">
        <v>3186.8879999999995</v>
      </c>
    </row>
    <row r="2554" spans="1:4">
      <c r="A2554" t="str">
        <f>"25567-CD025"</f>
        <v>25567-CD025</v>
      </c>
      <c r="B2554" t="str">
        <f>"Блок подрулевого пер"</f>
        <v>Блок подрулевого пер</v>
      </c>
      <c r="C2554">
        <v>1</v>
      </c>
      <c r="D2554">
        <v>3146.4959999999996</v>
      </c>
    </row>
    <row r="2555" spans="1:4">
      <c r="A2555" t="str">
        <f>"25567-EB60A"</f>
        <v>25567-EB60A</v>
      </c>
      <c r="B2555" t="str">
        <f>"Блок подрулевого пер"</f>
        <v>Блок подрулевого пер</v>
      </c>
      <c r="C2555">
        <v>0</v>
      </c>
      <c r="D2555">
        <v>3255.0239999999999</v>
      </c>
    </row>
    <row r="2556" spans="1:4">
      <c r="A2556" t="str">
        <f>"25567-ET225"</f>
        <v>25567-ET225</v>
      </c>
      <c r="B2556" t="str">
        <f>"Переключатель подрул"</f>
        <v>Переключатель подрул</v>
      </c>
      <c r="C2556">
        <v>5</v>
      </c>
      <c r="D2556">
        <v>3102.0239999999999</v>
      </c>
    </row>
    <row r="2557" spans="1:4">
      <c r="A2557" t="str">
        <f>"25610-50Y00"</f>
        <v>25610-50Y00</v>
      </c>
      <c r="B2557" t="str">
        <f>"Клаксон"</f>
        <v>Клаксон</v>
      </c>
      <c r="C2557">
        <v>1</v>
      </c>
      <c r="D2557">
        <v>408</v>
      </c>
    </row>
    <row r="2558" spans="1:4">
      <c r="A2558" t="str">
        <f>"25610-9U00A"</f>
        <v>25610-9U00A</v>
      </c>
      <c r="B2558" t="str">
        <f>"Клаксон"</f>
        <v>Клаксон</v>
      </c>
      <c r="C2558">
        <v>3</v>
      </c>
      <c r="D2558">
        <v>2419.44</v>
      </c>
    </row>
    <row r="2559" spans="1:4">
      <c r="A2559" t="str">
        <f>"25610-BM400"</f>
        <v>25610-BM400</v>
      </c>
      <c r="B2559" t="str">
        <f>"HORN ASSY-ELECT"</f>
        <v>HORN ASSY-ELECT</v>
      </c>
      <c r="C2559">
        <v>2</v>
      </c>
      <c r="D2559">
        <v>2338.6559999999999</v>
      </c>
    </row>
    <row r="2560" spans="1:4">
      <c r="A2560" t="str">
        <f>"25610-BR00A"</f>
        <v>25610-BR00A</v>
      </c>
      <c r="B2560" t="str">
        <f>"Клаксон"</f>
        <v>Клаксон</v>
      </c>
      <c r="C2560">
        <v>0</v>
      </c>
      <c r="D2560">
        <v>1954.3199999999997</v>
      </c>
    </row>
    <row r="2561" spans="1:4">
      <c r="A2561" t="str">
        <f>"25610-JG40A"</f>
        <v>25610-JG40A</v>
      </c>
      <c r="B2561" t="str">
        <f>"Клаксон"</f>
        <v>Клаксон</v>
      </c>
      <c r="C2561">
        <v>3</v>
      </c>
      <c r="D2561">
        <v>1971.4560000000001</v>
      </c>
    </row>
    <row r="2562" spans="1:4">
      <c r="A2562" t="str">
        <f>"25620-JD000"</f>
        <v>25620-JD000</v>
      </c>
      <c r="B2562" t="str">
        <f>"Клаксон"</f>
        <v>Клаксон</v>
      </c>
      <c r="C2562">
        <v>0</v>
      </c>
      <c r="D2562">
        <v>1965.3359999999998</v>
      </c>
    </row>
    <row r="2563" spans="1:4">
      <c r="A2563" t="str">
        <f>"25620-JG40A"</f>
        <v>25620-JG40A</v>
      </c>
      <c r="B2563" t="str">
        <f>"Клаксон"</f>
        <v>Клаксон</v>
      </c>
      <c r="C2563">
        <v>5</v>
      </c>
      <c r="D2563">
        <v>2015.1119999999999</v>
      </c>
    </row>
    <row r="2564" spans="1:4">
      <c r="A2564" t="str">
        <f>"25630-79960"</f>
        <v>25630-79960</v>
      </c>
      <c r="B2564" t="str">
        <f>"RELAY-HORN"</f>
        <v>RELAY-HORN</v>
      </c>
      <c r="C2564">
        <v>45</v>
      </c>
      <c r="D2564">
        <v>263.16000000000003</v>
      </c>
    </row>
    <row r="2565" spans="1:4">
      <c r="A2565" t="str">
        <f>"25640-7S200"</f>
        <v>25640-7S200</v>
      </c>
      <c r="B2565" t="str">
        <f>"BUZZER ASSY"</f>
        <v>BUZZER ASSY</v>
      </c>
      <c r="C2565">
        <v>0</v>
      </c>
      <c r="D2565">
        <v>672.79199999999992</v>
      </c>
    </row>
    <row r="2566" spans="1:4">
      <c r="A2566" t="str">
        <f>"25640-JD10A"</f>
        <v>25640-JD10A</v>
      </c>
      <c r="B2566" t="str">
        <f>"Датчик"</f>
        <v>Датчик</v>
      </c>
      <c r="C2566">
        <v>12</v>
      </c>
      <c r="D2566">
        <v>641.78399999999999</v>
      </c>
    </row>
    <row r="2567" spans="1:4">
      <c r="A2567" t="str">
        <f>"25730-1F500"</f>
        <v>25730-1F500</v>
      </c>
      <c r="B2567" t="str">
        <f>"Реле поворотнико"</f>
        <v>Реле поворотнико</v>
      </c>
      <c r="C2567">
        <v>4</v>
      </c>
      <c r="D2567">
        <v>745.00800000000004</v>
      </c>
    </row>
    <row r="2568" spans="1:4">
      <c r="A2568" t="str">
        <f>"25820-70F00"</f>
        <v>25820-70F00</v>
      </c>
      <c r="B2568" t="str">
        <f>"ЧАСЫ АВТОМОБ"</f>
        <v>ЧАСЫ АВТОМОБ</v>
      </c>
      <c r="C2568">
        <v>1</v>
      </c>
      <c r="D2568">
        <v>814.36799999999994</v>
      </c>
    </row>
    <row r="2569" spans="1:4">
      <c r="A2569" t="str">
        <f>"25911-VC10A"</f>
        <v>25911-VC10A</v>
      </c>
      <c r="B2569" t="str">
        <f>"Датчик электромагнит"</f>
        <v>Датчик электромагнит</v>
      </c>
      <c r="C2569">
        <v>6</v>
      </c>
      <c r="D2569">
        <v>1662.192</v>
      </c>
    </row>
    <row r="2570" spans="1:4">
      <c r="A2570" t="str">
        <f>"25977-0W801"</f>
        <v>25977-0W801</v>
      </c>
      <c r="B2570" t="str">
        <f>"SENSOR UNIT"</f>
        <v>SENSOR UNIT</v>
      </c>
      <c r="C2570">
        <v>14</v>
      </c>
      <c r="D2570">
        <v>1678.5119999999999</v>
      </c>
    </row>
    <row r="2571" spans="1:4">
      <c r="A2571" t="str">
        <f>"25994-ZC10A"</f>
        <v>25994-ZC10A</v>
      </c>
      <c r="B2571" t="str">
        <f>"Датчик дистанции"</f>
        <v>Датчик дистанции</v>
      </c>
      <c r="C2571">
        <v>0</v>
      </c>
      <c r="D2571">
        <v>3221.1600000000003</v>
      </c>
    </row>
    <row r="2572" spans="1:4">
      <c r="A2572" t="str">
        <f>"26010-0X401"</f>
        <v>26010-0X401</v>
      </c>
      <c r="B2572" t="str">
        <f>"LAMP ASSY-HEAD,"</f>
        <v>LAMP ASSY-HEAD,</v>
      </c>
      <c r="C2572">
        <v>0</v>
      </c>
      <c r="D2572">
        <v>5185.2719999999999</v>
      </c>
    </row>
    <row r="2573" spans="1:4">
      <c r="A2573" t="str">
        <f>"26010-1CJ0E"</f>
        <v>26010-1CJ0E</v>
      </c>
      <c r="B2573" t="str">
        <f>"Фара правая"</f>
        <v>Фара правая</v>
      </c>
      <c r="C2573">
        <v>4</v>
      </c>
      <c r="D2573">
        <v>32020.655999999999</v>
      </c>
    </row>
    <row r="2574" spans="1:4">
      <c r="A2574" t="str">
        <f>"26010-1CL0D"</f>
        <v>26010-1CL0D</v>
      </c>
      <c r="B2574" t="str">
        <f>"Фара головного освещ"</f>
        <v>Фара головного освещ</v>
      </c>
      <c r="C2574">
        <v>2</v>
      </c>
      <c r="D2574">
        <v>35968.872000000003</v>
      </c>
    </row>
    <row r="2575" spans="1:4">
      <c r="A2575" t="str">
        <f>"26010-1CY0E"</f>
        <v>26010-1CY0E</v>
      </c>
      <c r="B2575" t="str">
        <f>"Фара правая"</f>
        <v>Фара правая</v>
      </c>
      <c r="C2575">
        <v>1</v>
      </c>
      <c r="D2575">
        <v>35968.872000000003</v>
      </c>
    </row>
    <row r="2576" spans="1:4">
      <c r="A2576" t="str">
        <f>"26010-1KA0A"</f>
        <v>26010-1KA0A</v>
      </c>
      <c r="B2576" t="str">
        <f>"Фара правая"</f>
        <v>Фара правая</v>
      </c>
      <c r="C2576">
        <v>2</v>
      </c>
      <c r="D2576">
        <v>4706.6879999999992</v>
      </c>
    </row>
    <row r="2577" spans="1:4">
      <c r="A2577" t="str">
        <f>"26010-1NM6A"</f>
        <v>26010-1NM6A</v>
      </c>
      <c r="B2577" t="str">
        <f>"Фара правая"</f>
        <v>Фара правая</v>
      </c>
      <c r="C2577">
        <v>1</v>
      </c>
      <c r="D2577">
        <v>35968.872000000003</v>
      </c>
    </row>
    <row r="2578" spans="1:4">
      <c r="A2578" t="str">
        <f>"26010-2TV3A"</f>
        <v>26010-2TV3A</v>
      </c>
      <c r="B2578" t="str">
        <f>"нет детальки"</f>
        <v>нет детальки</v>
      </c>
      <c r="C2578">
        <v>2</v>
      </c>
      <c r="D2578">
        <v>8637.768</v>
      </c>
    </row>
    <row r="2579" spans="1:4">
      <c r="A2579" t="str">
        <f>"26010-3Y670"</f>
        <v>26010-3Y670</v>
      </c>
      <c r="B2579" t="str">
        <f t="shared" ref="B2579:B2589" si="43">"Фара правая"</f>
        <v>Фара правая</v>
      </c>
      <c r="C2579">
        <v>1</v>
      </c>
      <c r="D2579">
        <v>21338.399999999998</v>
      </c>
    </row>
    <row r="2580" spans="1:4">
      <c r="A2580" t="str">
        <f>"26010-5X10A"</f>
        <v>26010-5X10A</v>
      </c>
      <c r="B2580" t="str">
        <f t="shared" si="43"/>
        <v>Фара правая</v>
      </c>
      <c r="C2580">
        <v>1</v>
      </c>
      <c r="D2580">
        <v>21255.575999999997</v>
      </c>
    </row>
    <row r="2581" spans="1:4">
      <c r="A2581" t="str">
        <f>"26010-6Y580"</f>
        <v>26010-6Y580</v>
      </c>
      <c r="B2581" t="str">
        <f t="shared" si="43"/>
        <v>Фара правая</v>
      </c>
      <c r="C2581">
        <v>4</v>
      </c>
      <c r="D2581">
        <v>24522.024000000001</v>
      </c>
    </row>
    <row r="2582" spans="1:4">
      <c r="A2582" t="str">
        <f>"26010-8H90A"</f>
        <v>26010-8H90A</v>
      </c>
      <c r="B2582" t="str">
        <f t="shared" si="43"/>
        <v>Фара правая</v>
      </c>
      <c r="C2582">
        <v>5</v>
      </c>
      <c r="D2582">
        <v>7739.76</v>
      </c>
    </row>
    <row r="2583" spans="1:4">
      <c r="A2583" t="str">
        <f>"26010-95F0B"</f>
        <v>26010-95F0B</v>
      </c>
      <c r="B2583" t="str">
        <f t="shared" si="43"/>
        <v>Фара правая</v>
      </c>
      <c r="C2583">
        <v>11</v>
      </c>
      <c r="D2583">
        <v>7541.0640000000003</v>
      </c>
    </row>
    <row r="2584" spans="1:4">
      <c r="A2584" t="str">
        <f>"26010-95F0E"</f>
        <v>26010-95F0E</v>
      </c>
      <c r="B2584" t="str">
        <f t="shared" si="43"/>
        <v>Фара правая</v>
      </c>
      <c r="C2584">
        <v>2</v>
      </c>
      <c r="D2584">
        <v>7318.2959999999994</v>
      </c>
    </row>
    <row r="2585" spans="1:4">
      <c r="A2585" t="str">
        <f>"26010-9GA0A"</f>
        <v>26010-9GA0A</v>
      </c>
      <c r="B2585" t="str">
        <f t="shared" si="43"/>
        <v>Фара правая</v>
      </c>
      <c r="C2585">
        <v>3</v>
      </c>
      <c r="D2585">
        <v>22713.359999999997</v>
      </c>
    </row>
    <row r="2586" spans="1:4">
      <c r="A2586" t="str">
        <f>"26010-9U10A"</f>
        <v>26010-9U10A</v>
      </c>
      <c r="B2586" t="str">
        <f t="shared" si="43"/>
        <v>Фара правая</v>
      </c>
      <c r="C2586">
        <v>3</v>
      </c>
      <c r="D2586">
        <v>4501.8719999999994</v>
      </c>
    </row>
    <row r="2587" spans="1:4">
      <c r="A2587" t="str">
        <f>"26010-9W60B"</f>
        <v>26010-9W60B</v>
      </c>
      <c r="B2587" t="str">
        <f t="shared" si="43"/>
        <v>Фара правая</v>
      </c>
      <c r="C2587">
        <v>3</v>
      </c>
      <c r="D2587">
        <v>10419.503999999999</v>
      </c>
    </row>
    <row r="2588" spans="1:4">
      <c r="A2588" t="str">
        <f>"26010-9W61B"</f>
        <v>26010-9W61B</v>
      </c>
      <c r="B2588" t="str">
        <f t="shared" si="43"/>
        <v>Фара правая</v>
      </c>
      <c r="C2588">
        <v>9</v>
      </c>
      <c r="D2588">
        <v>26046.311999999998</v>
      </c>
    </row>
    <row r="2589" spans="1:4">
      <c r="A2589" t="str">
        <f>"26010-AU80B"</f>
        <v>26010-AU80B</v>
      </c>
      <c r="B2589" t="str">
        <f t="shared" si="43"/>
        <v>Фара правая</v>
      </c>
      <c r="C2589">
        <v>2</v>
      </c>
      <c r="D2589">
        <v>8265.2639999999992</v>
      </c>
    </row>
    <row r="2590" spans="1:4">
      <c r="A2590" t="str">
        <f>"26010-AX700"</f>
        <v>26010-AX700</v>
      </c>
      <c r="B2590" t="str">
        <f>"LAMP ASSY-HEAD,"</f>
        <v>LAMP ASSY-HEAD,</v>
      </c>
      <c r="C2590">
        <v>1</v>
      </c>
      <c r="D2590">
        <v>4501.8719999999994</v>
      </c>
    </row>
    <row r="2591" spans="1:4">
      <c r="A2591" t="str">
        <f>"26010-BC50B"</f>
        <v>26010-BC50B</v>
      </c>
      <c r="B2591" t="str">
        <f>"Фара правая"</f>
        <v>Фара правая</v>
      </c>
      <c r="C2591">
        <v>3</v>
      </c>
      <c r="D2591">
        <v>4501.8719999999994</v>
      </c>
    </row>
    <row r="2592" spans="1:4">
      <c r="A2592" t="str">
        <f>"26010-BG10B"</f>
        <v>26010-BG10B</v>
      </c>
      <c r="B2592" t="str">
        <f>"Фара правая"</f>
        <v>Фара правая</v>
      </c>
      <c r="C2592">
        <v>1</v>
      </c>
      <c r="D2592">
        <v>4501.8719999999994</v>
      </c>
    </row>
    <row r="2593" spans="1:4">
      <c r="A2593" t="str">
        <f>"26010-BH10A"</f>
        <v>26010-BH10A</v>
      </c>
      <c r="B2593" t="str">
        <f>"Фара правая"</f>
        <v>Фара правая</v>
      </c>
      <c r="C2593">
        <v>1</v>
      </c>
      <c r="D2593">
        <v>4952.3040000000001</v>
      </c>
    </row>
    <row r="2594" spans="1:4">
      <c r="A2594" t="str">
        <f>"26010-BH10B"</f>
        <v>26010-BH10B</v>
      </c>
      <c r="B2594" t="str">
        <f>"Фара правая"</f>
        <v>Фара правая</v>
      </c>
      <c r="C2594">
        <v>1</v>
      </c>
      <c r="D2594">
        <v>4952.3040000000001</v>
      </c>
    </row>
    <row r="2595" spans="1:4">
      <c r="A2595" t="str">
        <f>"26010-BN01A"</f>
        <v>26010-BN01A</v>
      </c>
      <c r="B2595" t="str">
        <f>"Фара правая"</f>
        <v>Фара правая</v>
      </c>
      <c r="C2595">
        <v>1</v>
      </c>
      <c r="D2595">
        <v>5588.7839999999997</v>
      </c>
    </row>
    <row r="2596" spans="1:4">
      <c r="A2596" t="str">
        <f>"26010-BN67A"</f>
        <v>26010-BN67A</v>
      </c>
      <c r="B2596" t="str">
        <f>"Фара правая (черн от"</f>
        <v>Фара правая (черн от</v>
      </c>
      <c r="C2596">
        <v>3</v>
      </c>
      <c r="D2596">
        <v>5588.7839999999997</v>
      </c>
    </row>
    <row r="2597" spans="1:4">
      <c r="A2597" t="str">
        <f>"26010-BN760"</f>
        <v>26010-BN760</v>
      </c>
      <c r="B2597" t="str">
        <f>"LAMP ASSY HEAD"</f>
        <v>LAMP ASSY HEAD</v>
      </c>
      <c r="C2597">
        <v>2</v>
      </c>
      <c r="D2597">
        <v>5588.7839999999997</v>
      </c>
    </row>
    <row r="2598" spans="1:4">
      <c r="A2598" t="str">
        <f>"26010-BR00B"</f>
        <v>26010-BR00B</v>
      </c>
      <c r="B2598" t="str">
        <f>"Фара правая"</f>
        <v>Фара правая</v>
      </c>
      <c r="C2598">
        <v>2</v>
      </c>
      <c r="D2598">
        <v>8872.3680000000004</v>
      </c>
    </row>
    <row r="2599" spans="1:4">
      <c r="A2599" t="str">
        <f>"26010-BR60B"</f>
        <v>26010-BR60B</v>
      </c>
      <c r="B2599" t="str">
        <f>"Фара правая"</f>
        <v>Фара правая</v>
      </c>
      <c r="C2599">
        <v>1</v>
      </c>
      <c r="D2599">
        <v>22605.648000000001</v>
      </c>
    </row>
    <row r="2600" spans="1:4">
      <c r="A2600" t="str">
        <f>"26010-BU200"</f>
        <v>26010-BU200</v>
      </c>
      <c r="B2600" t="str">
        <f>"LAMP ASSY-HEAD,"</f>
        <v>LAMP ASSY-HEAD,</v>
      </c>
      <c r="C2600">
        <v>1</v>
      </c>
      <c r="D2600">
        <v>5779.7279999999992</v>
      </c>
    </row>
    <row r="2601" spans="1:4">
      <c r="A2601" t="str">
        <f>"26010-CC00A"</f>
        <v>26010-CC00A</v>
      </c>
      <c r="B2601" t="str">
        <f t="shared" ref="B2601:B2624" si="44">"Фара правая"</f>
        <v>Фара правая</v>
      </c>
      <c r="C2601">
        <v>2</v>
      </c>
      <c r="D2601">
        <v>27328.655999999999</v>
      </c>
    </row>
    <row r="2602" spans="1:4">
      <c r="A2602" t="str">
        <f>"26010-CG04A"</f>
        <v>26010-CG04A</v>
      </c>
      <c r="B2602" t="str">
        <f t="shared" si="44"/>
        <v>Фара правая</v>
      </c>
      <c r="C2602">
        <v>6</v>
      </c>
      <c r="D2602">
        <v>32866.031999999999</v>
      </c>
    </row>
    <row r="2603" spans="1:4">
      <c r="A2603" t="str">
        <f>"26010-CL04A"</f>
        <v>26010-CL04A</v>
      </c>
      <c r="B2603" t="str">
        <f t="shared" si="44"/>
        <v>Фара правая</v>
      </c>
      <c r="C2603">
        <v>2</v>
      </c>
      <c r="D2603">
        <v>31008</v>
      </c>
    </row>
    <row r="2604" spans="1:4">
      <c r="A2604" t="str">
        <f>"26010-CM80B"</f>
        <v>26010-CM80B</v>
      </c>
      <c r="B2604" t="str">
        <f t="shared" si="44"/>
        <v>Фара правая</v>
      </c>
      <c r="C2604">
        <v>5</v>
      </c>
      <c r="D2604">
        <v>33980.688000000002</v>
      </c>
    </row>
    <row r="2605" spans="1:4">
      <c r="A2605" t="str">
        <f>"26010-CM81B"</f>
        <v>26010-CM81B</v>
      </c>
      <c r="B2605" t="str">
        <f t="shared" si="44"/>
        <v>Фара правая</v>
      </c>
      <c r="C2605">
        <v>8</v>
      </c>
      <c r="D2605">
        <v>35981.928</v>
      </c>
    </row>
    <row r="2606" spans="1:4">
      <c r="A2606" t="str">
        <f>"26010-EB30A"</f>
        <v>26010-EB30A</v>
      </c>
      <c r="B2606" t="str">
        <f t="shared" si="44"/>
        <v>Фара правая</v>
      </c>
      <c r="C2606">
        <v>1</v>
      </c>
      <c r="D2606">
        <v>6004.9439999999995</v>
      </c>
    </row>
    <row r="2607" spans="1:4">
      <c r="A2607" t="str">
        <f>"26010-EB40A"</f>
        <v>26010-EB40A</v>
      </c>
      <c r="B2607" t="str">
        <f t="shared" si="44"/>
        <v>Фара правая</v>
      </c>
      <c r="C2607">
        <v>1</v>
      </c>
      <c r="D2607">
        <v>7277.4960000000001</v>
      </c>
    </row>
    <row r="2608" spans="1:4">
      <c r="A2608" t="str">
        <f>"26010-EB50A"</f>
        <v>26010-EB50A</v>
      </c>
      <c r="B2608" t="str">
        <f t="shared" si="44"/>
        <v>Фара правая</v>
      </c>
      <c r="C2608">
        <v>1</v>
      </c>
      <c r="D2608">
        <v>21255.575999999997</v>
      </c>
    </row>
    <row r="2609" spans="1:4">
      <c r="A2609" t="str">
        <f>"26010-EH500"</f>
        <v>26010-EH500</v>
      </c>
      <c r="B2609" t="str">
        <f t="shared" si="44"/>
        <v>Фара правая</v>
      </c>
      <c r="C2609">
        <v>2</v>
      </c>
      <c r="D2609">
        <v>41522.160000000003</v>
      </c>
    </row>
    <row r="2610" spans="1:4">
      <c r="A2610" t="str">
        <f>"26010-EM00A"</f>
        <v>26010-EM00A</v>
      </c>
      <c r="B2610" t="str">
        <f t="shared" si="44"/>
        <v>Фара правая</v>
      </c>
      <c r="C2610">
        <v>0</v>
      </c>
      <c r="D2610">
        <v>6049.4160000000002</v>
      </c>
    </row>
    <row r="2611" spans="1:4">
      <c r="A2611" t="str">
        <f>"26010-EQ30C"</f>
        <v>26010-EQ30C</v>
      </c>
      <c r="B2611" t="str">
        <f t="shared" si="44"/>
        <v>Фара правая</v>
      </c>
      <c r="C2611">
        <v>3</v>
      </c>
      <c r="D2611">
        <v>25649.327999999998</v>
      </c>
    </row>
    <row r="2612" spans="1:4">
      <c r="A2612" t="str">
        <f>"26010-JD95A"</f>
        <v>26010-JD95A</v>
      </c>
      <c r="B2612" t="str">
        <f t="shared" si="44"/>
        <v>Фара правая</v>
      </c>
      <c r="C2612">
        <v>4</v>
      </c>
      <c r="D2612">
        <v>8265.2639999999992</v>
      </c>
    </row>
    <row r="2613" spans="1:4">
      <c r="A2613" t="str">
        <f>"26010-JD96A"</f>
        <v>26010-JD96A</v>
      </c>
      <c r="B2613" t="str">
        <f t="shared" si="44"/>
        <v>Фара правая</v>
      </c>
      <c r="C2613">
        <v>2</v>
      </c>
      <c r="D2613">
        <v>21309.024000000001</v>
      </c>
    </row>
    <row r="2614" spans="1:4">
      <c r="A2614" t="str">
        <f>"26010-JG40A"</f>
        <v>26010-JG40A</v>
      </c>
      <c r="B2614" t="str">
        <f t="shared" si="44"/>
        <v>Фара правая</v>
      </c>
      <c r="C2614">
        <v>5</v>
      </c>
      <c r="D2614">
        <v>8287.7039999999997</v>
      </c>
    </row>
    <row r="2615" spans="1:4">
      <c r="A2615" t="str">
        <f>"26010-JG45C"</f>
        <v>26010-JG45C</v>
      </c>
      <c r="B2615" t="str">
        <f t="shared" si="44"/>
        <v>Фара правая</v>
      </c>
      <c r="C2615">
        <v>2</v>
      </c>
      <c r="D2615">
        <v>22644</v>
      </c>
    </row>
    <row r="2616" spans="1:4">
      <c r="A2616" t="str">
        <f>"26010-JK80C"</f>
        <v>26010-JK80C</v>
      </c>
      <c r="B2616" t="str">
        <f t="shared" si="44"/>
        <v>Фара правая</v>
      </c>
      <c r="C2616">
        <v>2</v>
      </c>
      <c r="D2616">
        <v>31730.975999999999</v>
      </c>
    </row>
    <row r="2617" spans="1:4">
      <c r="A2617" t="str">
        <f>"26010-JK80D"</f>
        <v>26010-JK80D</v>
      </c>
      <c r="B2617" t="str">
        <f t="shared" si="44"/>
        <v>Фара правая</v>
      </c>
      <c r="C2617">
        <v>2</v>
      </c>
      <c r="D2617">
        <v>30145.08</v>
      </c>
    </row>
    <row r="2618" spans="1:4">
      <c r="A2618" t="str">
        <f>"26010-JN65A"</f>
        <v>26010-JN65A</v>
      </c>
      <c r="B2618" t="str">
        <f t="shared" si="44"/>
        <v>Фара правая</v>
      </c>
      <c r="C2618">
        <v>3</v>
      </c>
      <c r="D2618">
        <v>9504.768</v>
      </c>
    </row>
    <row r="2619" spans="1:4">
      <c r="A2619" t="str">
        <f>"26010-JN95A"</f>
        <v>26010-JN95A</v>
      </c>
      <c r="B2619" t="str">
        <f t="shared" si="44"/>
        <v>Фара правая</v>
      </c>
      <c r="C2619">
        <v>1</v>
      </c>
      <c r="D2619">
        <v>31560.84</v>
      </c>
    </row>
    <row r="2620" spans="1:4">
      <c r="A2620" t="str">
        <f>"26010-VB505"</f>
        <v>26010-VB505</v>
      </c>
      <c r="B2620" t="str">
        <f t="shared" si="44"/>
        <v>Фара правая</v>
      </c>
      <c r="C2620">
        <v>0</v>
      </c>
      <c r="D2620">
        <v>7405.2</v>
      </c>
    </row>
    <row r="2621" spans="1:4">
      <c r="A2621" t="str">
        <f>"26010-VC30B"</f>
        <v>26010-VC30B</v>
      </c>
      <c r="B2621" t="str">
        <f t="shared" si="44"/>
        <v>Фара правая</v>
      </c>
      <c r="C2621">
        <v>4</v>
      </c>
      <c r="D2621">
        <v>7668.36</v>
      </c>
    </row>
    <row r="2622" spans="1:4">
      <c r="A2622" t="str">
        <f>"26010-VD80A"</f>
        <v>26010-VD80A</v>
      </c>
      <c r="B2622" t="str">
        <f t="shared" si="44"/>
        <v>Фара правая</v>
      </c>
      <c r="C2622">
        <v>3</v>
      </c>
      <c r="D2622">
        <v>7710.7919999999995</v>
      </c>
    </row>
    <row r="2623" spans="1:4">
      <c r="A2623" t="str">
        <f>"26010-VK40B"</f>
        <v>26010-VK40B</v>
      </c>
      <c r="B2623" t="str">
        <f t="shared" si="44"/>
        <v>Фара правая</v>
      </c>
      <c r="C2623">
        <v>1</v>
      </c>
      <c r="D2623">
        <v>7367.2559999999994</v>
      </c>
    </row>
    <row r="2624" spans="1:4">
      <c r="A2624" t="str">
        <f>"26010-VK40C"</f>
        <v>26010-VK40C</v>
      </c>
      <c r="B2624" t="str">
        <f t="shared" si="44"/>
        <v>Фара правая</v>
      </c>
      <c r="C2624">
        <v>4</v>
      </c>
      <c r="D2624">
        <v>7367.2559999999994</v>
      </c>
    </row>
    <row r="2625" spans="1:4">
      <c r="A2625" t="str">
        <f>"26013-1AA0B"</f>
        <v>26013-1AA0B</v>
      </c>
      <c r="B2625" t="str">
        <f>"Кронштейн фары"</f>
        <v>Кронштейн фары</v>
      </c>
      <c r="C2625">
        <v>3</v>
      </c>
      <c r="D2625">
        <v>1295.8079999999998</v>
      </c>
    </row>
    <row r="2626" spans="1:4">
      <c r="A2626" t="str">
        <f>"26013-1AA0C"</f>
        <v>26013-1AA0C</v>
      </c>
      <c r="B2626" t="str">
        <f>"Облицовка фары"</f>
        <v>Облицовка фары</v>
      </c>
      <c r="C2626">
        <v>0</v>
      </c>
      <c r="D2626">
        <v>1342.7280000000001</v>
      </c>
    </row>
    <row r="2627" spans="1:4">
      <c r="A2627" t="str">
        <f>"26025-53U00"</f>
        <v>26025-53U00</v>
      </c>
      <c r="B2627" t="str">
        <f>"HOUSING-HD LAMP"</f>
        <v>HOUSING-HD LAMP</v>
      </c>
      <c r="C2627">
        <v>1</v>
      </c>
      <c r="D2627">
        <v>5694.8640000000005</v>
      </c>
    </row>
    <row r="2628" spans="1:4">
      <c r="A2628" t="str">
        <f>"26025-6Y580"</f>
        <v>26025-6Y580</v>
      </c>
      <c r="B2628" t="str">
        <f>"HOUSING ASSY-HE"</f>
        <v>HOUSING ASSY-HE</v>
      </c>
      <c r="C2628">
        <v>0</v>
      </c>
      <c r="D2628">
        <v>22540.775999999998</v>
      </c>
    </row>
    <row r="2629" spans="1:4">
      <c r="A2629" t="str">
        <f>"26025-8H90A"</f>
        <v>26025-8H90A</v>
      </c>
      <c r="B2629" t="str">
        <f>"Фара правая (корпус)"</f>
        <v>Фара правая (корпус)</v>
      </c>
      <c r="C2629">
        <v>2</v>
      </c>
      <c r="D2629">
        <v>8384.8079999999991</v>
      </c>
    </row>
    <row r="2630" spans="1:4">
      <c r="A2630" t="str">
        <f>"26025-9W61B"</f>
        <v>26025-9W61B</v>
      </c>
      <c r="B2630" t="str">
        <f>"Фара правая (корпус)"</f>
        <v>Фара правая (корпус)</v>
      </c>
      <c r="C2630">
        <v>0</v>
      </c>
      <c r="D2630">
        <v>21373.896000000001</v>
      </c>
    </row>
    <row r="2631" spans="1:4">
      <c r="A2631" t="str">
        <f>"26025-EQ30C"</f>
        <v>26025-EQ30C</v>
      </c>
      <c r="B2631" t="str">
        <f>"Фара правая (корпус)"</f>
        <v>Фара правая (корпус)</v>
      </c>
      <c r="C2631">
        <v>0</v>
      </c>
      <c r="D2631">
        <v>17512.175999999999</v>
      </c>
    </row>
    <row r="2632" spans="1:4">
      <c r="A2632" t="str">
        <f>"26025-JG40A"</f>
        <v>26025-JG40A</v>
      </c>
      <c r="B2632" t="str">
        <f>"Фара правая (корпус)"</f>
        <v>Фара правая (корпус)</v>
      </c>
      <c r="C2632">
        <v>1</v>
      </c>
      <c r="D2632">
        <v>7909.4879999999994</v>
      </c>
    </row>
    <row r="2633" spans="1:4">
      <c r="A2633" t="str">
        <f>"26025-JG45A"</f>
        <v>26025-JG45A</v>
      </c>
      <c r="B2633" t="str">
        <f>"Фара правая (корпус)"</f>
        <v>Фара правая (корпус)</v>
      </c>
      <c r="C2633">
        <v>5</v>
      </c>
      <c r="D2633">
        <v>12769.583999999999</v>
      </c>
    </row>
    <row r="2634" spans="1:4">
      <c r="A2634" t="str">
        <f>"26025-JG45C"</f>
        <v>26025-JG45C</v>
      </c>
      <c r="B2634" t="str">
        <f>"Фара (корпус)"</f>
        <v>Фара (корпус)</v>
      </c>
      <c r="C2634">
        <v>0</v>
      </c>
      <c r="D2634">
        <v>12350.975999999999</v>
      </c>
    </row>
    <row r="2635" spans="1:4">
      <c r="A2635" t="str">
        <f>"26025-JN95A"</f>
        <v>26025-JN95A</v>
      </c>
      <c r="B2635" t="str">
        <f>"Фара правая (корпус)"</f>
        <v>Фара правая (корпус)</v>
      </c>
      <c r="C2635">
        <v>4</v>
      </c>
      <c r="D2635">
        <v>22761.096000000001</v>
      </c>
    </row>
    <row r="2636" spans="1:4">
      <c r="A2636" t="str">
        <f>"26029-10V00"</f>
        <v>26029-10V00</v>
      </c>
      <c r="B2636" t="str">
        <f>"HOLDER-HD LAMP"</f>
        <v>HOLDER-HD LAMP</v>
      </c>
      <c r="C2636">
        <v>7</v>
      </c>
      <c r="D2636">
        <v>213.792</v>
      </c>
    </row>
    <row r="2637" spans="1:4">
      <c r="A2637" t="str">
        <f>"26029-4M400"</f>
        <v>26029-4M400</v>
      </c>
      <c r="B2637" t="str">
        <f>"Крышка фары"</f>
        <v>Крышка фары</v>
      </c>
      <c r="C2637">
        <v>2</v>
      </c>
      <c r="D2637">
        <v>385.96799999999996</v>
      </c>
    </row>
    <row r="2638" spans="1:4">
      <c r="A2638" t="str">
        <f>"26029-95F0A"</f>
        <v>26029-95F0A</v>
      </c>
      <c r="B2638" t="str">
        <f>"Крышка фары"</f>
        <v>Крышка фары</v>
      </c>
      <c r="C2638">
        <v>5</v>
      </c>
      <c r="D2638">
        <v>333.33599999999996</v>
      </c>
    </row>
    <row r="2639" spans="1:4">
      <c r="A2639" t="str">
        <f>"26029-95F0B"</f>
        <v>26029-95F0B</v>
      </c>
      <c r="B2639" t="str">
        <f>"Крышка фары"</f>
        <v>Крышка фары</v>
      </c>
      <c r="C2639">
        <v>32</v>
      </c>
      <c r="D2639">
        <v>348.43200000000002</v>
      </c>
    </row>
    <row r="2640" spans="1:4">
      <c r="A2640" t="str">
        <f>"26029-AX600"</f>
        <v>26029-AX600</v>
      </c>
      <c r="B2640" t="str">
        <f>"COVER-SOCKET"</f>
        <v>COVER-SOCKET</v>
      </c>
      <c r="C2640">
        <v>0</v>
      </c>
      <c r="D2640">
        <v>229.70399999999998</v>
      </c>
    </row>
    <row r="2641" spans="1:4">
      <c r="A2641" t="str">
        <f>"26029-BN701"</f>
        <v>26029-BN701</v>
      </c>
      <c r="B2641" t="str">
        <f>"COVER-SOCKET"</f>
        <v>COVER-SOCKET</v>
      </c>
      <c r="C2641">
        <v>0</v>
      </c>
      <c r="D2641">
        <v>339.45599999999996</v>
      </c>
    </row>
    <row r="2642" spans="1:4">
      <c r="A2642" t="str">
        <f>"26029-BU001"</f>
        <v>26029-BU001</v>
      </c>
      <c r="B2642" t="str">
        <f>"COVER-SOCKET"</f>
        <v>COVER-SOCKET</v>
      </c>
      <c r="C2642">
        <v>7</v>
      </c>
      <c r="D2642">
        <v>172.17599999999999</v>
      </c>
    </row>
    <row r="2643" spans="1:4">
      <c r="A2643" t="str">
        <f>"26030-5L300"</f>
        <v>26030-5L300</v>
      </c>
      <c r="B2643" t="str">
        <f>"Заглушка фары"</f>
        <v>Заглушка фары</v>
      </c>
      <c r="C2643">
        <v>7</v>
      </c>
      <c r="D2643">
        <v>333.74399999999997</v>
      </c>
    </row>
    <row r="2644" spans="1:4">
      <c r="A2644" t="str">
        <f>"26040-EB500"</f>
        <v>26040-EB500</v>
      </c>
      <c r="B2644" t="str">
        <f>"Кронштейн фары"</f>
        <v>Кронштейн фары</v>
      </c>
      <c r="C2644">
        <v>2</v>
      </c>
      <c r="D2644">
        <v>1494.0959999999998</v>
      </c>
    </row>
    <row r="2645" spans="1:4">
      <c r="A2645" t="str">
        <f>"26042-7F000"</f>
        <v>26042-7F000</v>
      </c>
      <c r="B2645" t="str">
        <f>"BRACKET ASSY-HE"</f>
        <v>BRACKET ASSY-HE</v>
      </c>
      <c r="C2645">
        <v>4</v>
      </c>
      <c r="D2645">
        <v>1406.7839999999999</v>
      </c>
    </row>
    <row r="2646" spans="1:4">
      <c r="A2646" t="str">
        <f>"26042-EB000"</f>
        <v>26042-EB000</v>
      </c>
      <c r="B2646" t="str">
        <f>"Кронштейн фары"</f>
        <v>Кронштейн фары</v>
      </c>
      <c r="C2646">
        <v>1</v>
      </c>
      <c r="D2646">
        <v>585.88800000000003</v>
      </c>
    </row>
    <row r="2647" spans="1:4">
      <c r="A2647" t="str">
        <f>"26059-3Z700"</f>
        <v>26059-3Z700</v>
      </c>
      <c r="B2647" t="str">
        <f>"Наклейка фары"</f>
        <v>Наклейка фары</v>
      </c>
      <c r="C2647">
        <v>1</v>
      </c>
      <c r="D2647">
        <v>46.103999999999999</v>
      </c>
    </row>
    <row r="2648" spans="1:4">
      <c r="A2648" t="str">
        <f>"26060-0F001"</f>
        <v>26060-0F001</v>
      </c>
      <c r="B2648" t="str">
        <f>"LAMP ASSY-HEAD"</f>
        <v>LAMP ASSY-HEAD</v>
      </c>
      <c r="C2648">
        <v>1</v>
      </c>
      <c r="D2648">
        <v>5185.2719999999999</v>
      </c>
    </row>
    <row r="2649" spans="1:4">
      <c r="A2649" t="str">
        <f>"26060-1CJ0C"</f>
        <v>26060-1CJ0C</v>
      </c>
      <c r="B2649" t="str">
        <f>"Фара левая"</f>
        <v>Фара левая</v>
      </c>
      <c r="C2649">
        <v>2</v>
      </c>
      <c r="D2649">
        <v>32742.407999999999</v>
      </c>
    </row>
    <row r="2650" spans="1:4">
      <c r="A2650" t="str">
        <f>"26060-1CJ0E"</f>
        <v>26060-1CJ0E</v>
      </c>
      <c r="B2650" t="str">
        <f>"Фара левая"</f>
        <v>Фара левая</v>
      </c>
      <c r="C2650">
        <v>2</v>
      </c>
      <c r="D2650">
        <v>32742.407999999999</v>
      </c>
    </row>
    <row r="2651" spans="1:4">
      <c r="A2651" t="str">
        <f>"26060-1CL0D"</f>
        <v>26060-1CL0D</v>
      </c>
      <c r="B2651" t="str">
        <f>"Фара левая"</f>
        <v>Фара левая</v>
      </c>
      <c r="C2651">
        <v>1</v>
      </c>
      <c r="D2651">
        <v>35968.872000000003</v>
      </c>
    </row>
    <row r="2652" spans="1:4">
      <c r="A2652" t="str">
        <f>"26060-1KA0A"</f>
        <v>26060-1KA0A</v>
      </c>
      <c r="B2652" t="str">
        <f>"Фара левая"</f>
        <v>Фара левая</v>
      </c>
      <c r="C2652">
        <v>2</v>
      </c>
      <c r="D2652">
        <v>4706.6879999999992</v>
      </c>
    </row>
    <row r="2653" spans="1:4">
      <c r="A2653" t="str">
        <f>"26060-1NM6A"</f>
        <v>26060-1NM6A</v>
      </c>
      <c r="B2653" t="str">
        <f>"Фара левая"</f>
        <v>Фара левая</v>
      </c>
      <c r="C2653">
        <v>1</v>
      </c>
      <c r="D2653">
        <v>35968.872000000003</v>
      </c>
    </row>
    <row r="2654" spans="1:4">
      <c r="A2654" t="str">
        <f>"26060-2N385"</f>
        <v>26060-2N385</v>
      </c>
      <c r="B2654" t="str">
        <f>"LAMP ASSY-HEAD,"</f>
        <v>LAMP ASSY-HEAD,</v>
      </c>
      <c r="C2654">
        <v>1</v>
      </c>
      <c r="D2654">
        <v>4896</v>
      </c>
    </row>
    <row r="2655" spans="1:4">
      <c r="A2655" t="str">
        <f>"26060-3Y670"</f>
        <v>26060-3Y670</v>
      </c>
      <c r="B2655" t="str">
        <f t="shared" ref="B2655:B2669" si="45">"Фара левая"</f>
        <v>Фара левая</v>
      </c>
      <c r="C2655">
        <v>2</v>
      </c>
      <c r="D2655">
        <v>24569.759999999998</v>
      </c>
    </row>
    <row r="2656" spans="1:4">
      <c r="A2656" t="str">
        <f>"26060-6Y580"</f>
        <v>26060-6Y580</v>
      </c>
      <c r="B2656" t="str">
        <f t="shared" si="45"/>
        <v>Фара левая</v>
      </c>
      <c r="C2656">
        <v>1</v>
      </c>
      <c r="D2656">
        <v>24138.911999999997</v>
      </c>
    </row>
    <row r="2657" spans="1:4">
      <c r="A2657" t="str">
        <f>"26060-8H90A"</f>
        <v>26060-8H90A</v>
      </c>
      <c r="B2657" t="str">
        <f t="shared" si="45"/>
        <v>Фара левая</v>
      </c>
      <c r="C2657">
        <v>5</v>
      </c>
      <c r="D2657">
        <v>8310.9599999999991</v>
      </c>
    </row>
    <row r="2658" spans="1:4">
      <c r="A2658" t="str">
        <f>"26060-95F0B"</f>
        <v>26060-95F0B</v>
      </c>
      <c r="B2658" t="str">
        <f t="shared" si="45"/>
        <v>Фара левая</v>
      </c>
      <c r="C2658">
        <v>13</v>
      </c>
      <c r="D2658">
        <v>7594.5119999999997</v>
      </c>
    </row>
    <row r="2659" spans="1:4">
      <c r="A2659" t="str">
        <f>"26060-95F0E"</f>
        <v>26060-95F0E</v>
      </c>
      <c r="B2659" t="str">
        <f t="shared" si="45"/>
        <v>Фара левая</v>
      </c>
      <c r="C2659">
        <v>5</v>
      </c>
      <c r="D2659">
        <v>7318.2959999999994</v>
      </c>
    </row>
    <row r="2660" spans="1:4">
      <c r="A2660" t="str">
        <f>"26060-9GA0A"</f>
        <v>26060-9GA0A</v>
      </c>
      <c r="B2660" t="str">
        <f t="shared" si="45"/>
        <v>Фара левая</v>
      </c>
      <c r="C2660">
        <v>0</v>
      </c>
      <c r="D2660">
        <v>22713.359999999997</v>
      </c>
    </row>
    <row r="2661" spans="1:4">
      <c r="A2661" t="str">
        <f>"26060-9U10A"</f>
        <v>26060-9U10A</v>
      </c>
      <c r="B2661" t="str">
        <f t="shared" si="45"/>
        <v>Фара левая</v>
      </c>
      <c r="C2661">
        <v>1</v>
      </c>
      <c r="D2661">
        <v>4501.8719999999994</v>
      </c>
    </row>
    <row r="2662" spans="1:4">
      <c r="A2662" t="str">
        <f>"26060-9W60B"</f>
        <v>26060-9W60B</v>
      </c>
      <c r="B2662" t="str">
        <f t="shared" si="45"/>
        <v>Фара левая</v>
      </c>
      <c r="C2662">
        <v>5</v>
      </c>
      <c r="D2662">
        <v>9947.8559999999979</v>
      </c>
    </row>
    <row r="2663" spans="1:4">
      <c r="A2663" t="str">
        <f>"26060-9W61B"</f>
        <v>26060-9W61B</v>
      </c>
      <c r="B2663" t="str">
        <f t="shared" si="45"/>
        <v>Фара левая</v>
      </c>
      <c r="C2663">
        <v>10</v>
      </c>
      <c r="D2663">
        <v>25397.592000000001</v>
      </c>
    </row>
    <row r="2664" spans="1:4">
      <c r="A2664" t="str">
        <f>"26060-AU80B"</f>
        <v>26060-AU80B</v>
      </c>
      <c r="B2664" t="str">
        <f t="shared" si="45"/>
        <v>Фара левая</v>
      </c>
      <c r="C2664">
        <v>1</v>
      </c>
      <c r="D2664">
        <v>8265.2639999999992</v>
      </c>
    </row>
    <row r="2665" spans="1:4">
      <c r="A2665" t="str">
        <f>"26060-AU80C"</f>
        <v>26060-AU80C</v>
      </c>
      <c r="B2665" t="str">
        <f t="shared" si="45"/>
        <v>Фара левая</v>
      </c>
      <c r="C2665">
        <v>1</v>
      </c>
      <c r="D2665">
        <v>8364</v>
      </c>
    </row>
    <row r="2666" spans="1:4">
      <c r="A2666" t="str">
        <f>"26060-BG10B"</f>
        <v>26060-BG10B</v>
      </c>
      <c r="B2666" t="str">
        <f t="shared" si="45"/>
        <v>Фара левая</v>
      </c>
      <c r="C2666">
        <v>1</v>
      </c>
      <c r="D2666">
        <v>4501.8719999999994</v>
      </c>
    </row>
    <row r="2667" spans="1:4">
      <c r="A2667" t="str">
        <f>"26060-BH10A"</f>
        <v>26060-BH10A</v>
      </c>
      <c r="B2667" t="str">
        <f t="shared" si="45"/>
        <v>Фара левая</v>
      </c>
      <c r="C2667">
        <v>1</v>
      </c>
      <c r="D2667">
        <v>4952.3040000000001</v>
      </c>
    </row>
    <row r="2668" spans="1:4">
      <c r="A2668" t="str">
        <f>"26060-BH10B"</f>
        <v>26060-BH10B</v>
      </c>
      <c r="B2668" t="str">
        <f t="shared" si="45"/>
        <v>Фара левая</v>
      </c>
      <c r="C2668">
        <v>1</v>
      </c>
      <c r="D2668">
        <v>4501.8719999999994</v>
      </c>
    </row>
    <row r="2669" spans="1:4">
      <c r="A2669" t="str">
        <f>"26060-BN01A"</f>
        <v>26060-BN01A</v>
      </c>
      <c r="B2669" t="str">
        <f t="shared" si="45"/>
        <v>Фара левая</v>
      </c>
      <c r="C2669">
        <v>2</v>
      </c>
      <c r="D2669">
        <v>5588.7839999999997</v>
      </c>
    </row>
    <row r="2670" spans="1:4">
      <c r="A2670" t="str">
        <f>"26060-BN67A"</f>
        <v>26060-BN67A</v>
      </c>
      <c r="B2670" t="str">
        <f>"Фара левая (черн отр"</f>
        <v>Фара левая (черн отр</v>
      </c>
      <c r="C2670">
        <v>3</v>
      </c>
      <c r="D2670">
        <v>5588.7839999999997</v>
      </c>
    </row>
    <row r="2671" spans="1:4">
      <c r="A2671" t="str">
        <f>"26060-BN760"</f>
        <v>26060-BN760</v>
      </c>
      <c r="B2671" t="str">
        <f>"LAMP ASSY HEAD"</f>
        <v>LAMP ASSY HEAD</v>
      </c>
      <c r="C2671">
        <v>2</v>
      </c>
      <c r="D2671">
        <v>5588.7839999999997</v>
      </c>
    </row>
    <row r="2672" spans="1:4">
      <c r="A2672" t="str">
        <f>"26060-BR00B"</f>
        <v>26060-BR00B</v>
      </c>
      <c r="B2672" t="str">
        <f>"Фара левая"</f>
        <v>Фара левая</v>
      </c>
      <c r="C2672">
        <v>0</v>
      </c>
      <c r="D2672">
        <v>8850.7439999999988</v>
      </c>
    </row>
    <row r="2673" spans="1:4">
      <c r="A2673" t="str">
        <f>"26060-BR60B"</f>
        <v>26060-BR60B</v>
      </c>
      <c r="B2673" t="str">
        <f>"Фара левая"</f>
        <v>Фара левая</v>
      </c>
      <c r="C2673">
        <v>1</v>
      </c>
      <c r="D2673">
        <v>22605.648000000001</v>
      </c>
    </row>
    <row r="2674" spans="1:4">
      <c r="A2674" t="str">
        <f>"26060-BU200"</f>
        <v>26060-BU200</v>
      </c>
      <c r="B2674" t="str">
        <f>"LAMP ASSY-HEAD,"</f>
        <v>LAMP ASSY-HEAD,</v>
      </c>
      <c r="C2674">
        <v>1</v>
      </c>
      <c r="D2674">
        <v>5779.7279999999992</v>
      </c>
    </row>
    <row r="2675" spans="1:4">
      <c r="A2675" t="str">
        <f>"26060-CC00A"</f>
        <v>26060-CC00A</v>
      </c>
      <c r="B2675" t="str">
        <f t="shared" ref="B2675:B2699" si="46">"Фара левая"</f>
        <v>Фара левая</v>
      </c>
      <c r="C2675">
        <v>4</v>
      </c>
      <c r="D2675">
        <v>28560</v>
      </c>
    </row>
    <row r="2676" spans="1:4">
      <c r="A2676" t="str">
        <f>"26060-CG04A"</f>
        <v>26060-CG04A</v>
      </c>
      <c r="B2676" t="str">
        <f t="shared" si="46"/>
        <v>Фара левая</v>
      </c>
      <c r="C2676">
        <v>3</v>
      </c>
      <c r="D2676">
        <v>34581.671999999999</v>
      </c>
    </row>
    <row r="2677" spans="1:4">
      <c r="A2677" t="str">
        <f>"26060-CL04A"</f>
        <v>26060-CL04A</v>
      </c>
      <c r="B2677" t="str">
        <f t="shared" si="46"/>
        <v>Фара левая</v>
      </c>
      <c r="C2677">
        <v>2</v>
      </c>
      <c r="D2677">
        <v>35372.784</v>
      </c>
    </row>
    <row r="2678" spans="1:4">
      <c r="A2678" t="str">
        <f>"26060-CM80B"</f>
        <v>26060-CM80B</v>
      </c>
      <c r="B2678" t="str">
        <f t="shared" si="46"/>
        <v>Фара левая</v>
      </c>
      <c r="C2678">
        <v>4</v>
      </c>
      <c r="D2678">
        <v>34178.567999999999</v>
      </c>
    </row>
    <row r="2679" spans="1:4">
      <c r="A2679" t="str">
        <f>"26060-CM81B"</f>
        <v>26060-CM81B</v>
      </c>
      <c r="B2679" t="str">
        <f t="shared" si="46"/>
        <v>Фара левая</v>
      </c>
      <c r="C2679">
        <v>6</v>
      </c>
      <c r="D2679">
        <v>34158.167999999998</v>
      </c>
    </row>
    <row r="2680" spans="1:4">
      <c r="A2680" t="str">
        <f>"26060-EB30A"</f>
        <v>26060-EB30A</v>
      </c>
      <c r="B2680" t="str">
        <f t="shared" si="46"/>
        <v>Фара левая</v>
      </c>
      <c r="C2680">
        <v>0</v>
      </c>
      <c r="D2680">
        <v>6004.9439999999995</v>
      </c>
    </row>
    <row r="2681" spans="1:4">
      <c r="A2681" t="str">
        <f>"26060-EB40A"</f>
        <v>26060-EB40A</v>
      </c>
      <c r="B2681" t="str">
        <f t="shared" si="46"/>
        <v>Фара левая</v>
      </c>
      <c r="C2681">
        <v>2</v>
      </c>
      <c r="D2681">
        <v>7011.8879999999999</v>
      </c>
    </row>
    <row r="2682" spans="1:4">
      <c r="A2682" t="str">
        <f>"26060-EB50A"</f>
        <v>26060-EB50A</v>
      </c>
      <c r="B2682" t="str">
        <f t="shared" si="46"/>
        <v>Фара левая</v>
      </c>
      <c r="C2682">
        <v>1</v>
      </c>
      <c r="D2682">
        <v>21255.575999999997</v>
      </c>
    </row>
    <row r="2683" spans="1:4">
      <c r="A2683" t="str">
        <f>"26060-EH500"</f>
        <v>26060-EH500</v>
      </c>
      <c r="B2683" t="str">
        <f t="shared" si="46"/>
        <v>Фара левая</v>
      </c>
      <c r="C2683">
        <v>2</v>
      </c>
      <c r="D2683">
        <v>41400.167999999998</v>
      </c>
    </row>
    <row r="2684" spans="1:4">
      <c r="A2684" t="str">
        <f>"26060-EM00A"</f>
        <v>26060-EM00A</v>
      </c>
      <c r="B2684" t="str">
        <f t="shared" si="46"/>
        <v>Фара левая</v>
      </c>
      <c r="C2684">
        <v>0</v>
      </c>
      <c r="D2684">
        <v>5512.4879999999994</v>
      </c>
    </row>
    <row r="2685" spans="1:4">
      <c r="A2685" t="str">
        <f>"26060-EM00B"</f>
        <v>26060-EM00B</v>
      </c>
      <c r="B2685" t="str">
        <f t="shared" si="46"/>
        <v>Фара левая</v>
      </c>
      <c r="C2685">
        <v>2</v>
      </c>
      <c r="D2685">
        <v>32619.191999999999</v>
      </c>
    </row>
    <row r="2686" spans="1:4">
      <c r="A2686" t="str">
        <f>"26060-EQ30C"</f>
        <v>26060-EQ30C</v>
      </c>
      <c r="B2686" t="str">
        <f t="shared" si="46"/>
        <v>Фара левая</v>
      </c>
      <c r="C2686">
        <v>4</v>
      </c>
      <c r="D2686">
        <v>23959.8</v>
      </c>
    </row>
    <row r="2687" spans="1:4">
      <c r="A2687" t="str">
        <f>"26060-JD90B"</f>
        <v>26060-JD90B</v>
      </c>
      <c r="B2687" t="str">
        <f t="shared" si="46"/>
        <v>Фара левая</v>
      </c>
      <c r="C2687">
        <v>2</v>
      </c>
      <c r="D2687">
        <v>8265.2639999999992</v>
      </c>
    </row>
    <row r="2688" spans="1:4">
      <c r="A2688" t="str">
        <f>"26060-JD91B"</f>
        <v>26060-JD91B</v>
      </c>
      <c r="B2688" t="str">
        <f t="shared" si="46"/>
        <v>Фара левая</v>
      </c>
      <c r="C2688">
        <v>2</v>
      </c>
      <c r="D2688">
        <v>22605.648000000001</v>
      </c>
    </row>
    <row r="2689" spans="1:4">
      <c r="A2689" t="str">
        <f>"26060-JD96A"</f>
        <v>26060-JD96A</v>
      </c>
      <c r="B2689" t="str">
        <f t="shared" si="46"/>
        <v>Фара левая</v>
      </c>
      <c r="C2689">
        <v>1</v>
      </c>
      <c r="D2689">
        <v>20808</v>
      </c>
    </row>
    <row r="2690" spans="1:4">
      <c r="A2690" t="str">
        <f>"26060-JG40A"</f>
        <v>26060-JG40A</v>
      </c>
      <c r="B2690" t="str">
        <f t="shared" si="46"/>
        <v>Фара левая</v>
      </c>
      <c r="C2690">
        <v>4</v>
      </c>
      <c r="D2690">
        <v>7721.808</v>
      </c>
    </row>
    <row r="2691" spans="1:4">
      <c r="A2691" t="str">
        <f>"26060-JG45C"</f>
        <v>26060-JG45C</v>
      </c>
      <c r="B2691" t="str">
        <f t="shared" si="46"/>
        <v>Фара левая</v>
      </c>
      <c r="C2691">
        <v>5</v>
      </c>
      <c r="D2691">
        <v>22694.592000000001</v>
      </c>
    </row>
    <row r="2692" spans="1:4">
      <c r="A2692" t="str">
        <f>"26060-JK80C"</f>
        <v>26060-JK80C</v>
      </c>
      <c r="B2692" t="str">
        <f t="shared" si="46"/>
        <v>Фара левая</v>
      </c>
      <c r="C2692">
        <v>2</v>
      </c>
      <c r="D2692">
        <v>32188.343999999997</v>
      </c>
    </row>
    <row r="2693" spans="1:4">
      <c r="A2693" t="str">
        <f>"26060-JK80D"</f>
        <v>26060-JK80D</v>
      </c>
      <c r="B2693" t="str">
        <f t="shared" si="46"/>
        <v>Фара левая</v>
      </c>
      <c r="C2693">
        <v>1</v>
      </c>
      <c r="D2693">
        <v>32769.743999999999</v>
      </c>
    </row>
    <row r="2694" spans="1:4">
      <c r="A2694" t="str">
        <f>"26060-JN65A"</f>
        <v>26060-JN65A</v>
      </c>
      <c r="B2694" t="str">
        <f t="shared" si="46"/>
        <v>Фара левая</v>
      </c>
      <c r="C2694">
        <v>6</v>
      </c>
      <c r="D2694">
        <v>9504.768</v>
      </c>
    </row>
    <row r="2695" spans="1:4">
      <c r="A2695" t="str">
        <f>"26060-JN95A"</f>
        <v>26060-JN95A</v>
      </c>
      <c r="B2695" t="str">
        <f t="shared" si="46"/>
        <v>Фара левая</v>
      </c>
      <c r="C2695">
        <v>7</v>
      </c>
      <c r="D2695">
        <v>31043.088</v>
      </c>
    </row>
    <row r="2696" spans="1:4">
      <c r="A2696" t="str">
        <f>"26060-VB505"</f>
        <v>26060-VB505</v>
      </c>
      <c r="B2696" t="str">
        <f t="shared" si="46"/>
        <v>Фара левая</v>
      </c>
      <c r="C2696">
        <v>1</v>
      </c>
      <c r="D2696">
        <v>7669.5839999999989</v>
      </c>
    </row>
    <row r="2697" spans="1:4">
      <c r="A2697" t="str">
        <f>"26060-VC30B"</f>
        <v>26060-VC30B</v>
      </c>
      <c r="B2697" t="str">
        <f t="shared" si="46"/>
        <v>Фара левая</v>
      </c>
      <c r="C2697">
        <v>1</v>
      </c>
      <c r="D2697">
        <v>7758.5279999999993</v>
      </c>
    </row>
    <row r="2698" spans="1:4">
      <c r="A2698" t="str">
        <f>"26060-VD80A"</f>
        <v>26060-VD80A</v>
      </c>
      <c r="B2698" t="str">
        <f t="shared" si="46"/>
        <v>Фара левая</v>
      </c>
      <c r="C2698">
        <v>4</v>
      </c>
      <c r="D2698">
        <v>7739.76</v>
      </c>
    </row>
    <row r="2699" spans="1:4">
      <c r="A2699" t="str">
        <f>"26060-VK40B"</f>
        <v>26060-VK40B</v>
      </c>
      <c r="B2699" t="str">
        <f t="shared" si="46"/>
        <v>Фара левая</v>
      </c>
      <c r="C2699">
        <v>2</v>
      </c>
      <c r="D2699">
        <v>7627.152</v>
      </c>
    </row>
    <row r="2700" spans="1:4">
      <c r="A2700" t="str">
        <f>"26060-VK40C"</f>
        <v>26060-VK40C</v>
      </c>
      <c r="B2700" t="str">
        <f>"LAMP ASSY-LH"</f>
        <v>LAMP ASSY-LH</v>
      </c>
      <c r="C2700">
        <v>0</v>
      </c>
      <c r="D2700">
        <v>7627.152</v>
      </c>
    </row>
    <row r="2701" spans="1:4">
      <c r="A2701" t="str">
        <f>"26063-1AA0B"</f>
        <v>26063-1AA0B</v>
      </c>
      <c r="B2701" t="str">
        <f>"Кронштейн фары"</f>
        <v>Кронштейн фары</v>
      </c>
      <c r="C2701">
        <v>2</v>
      </c>
      <c r="D2701">
        <v>1302.336</v>
      </c>
    </row>
    <row r="2702" spans="1:4">
      <c r="A2702" t="str">
        <f>"26075-8H90A"</f>
        <v>26075-8H90A</v>
      </c>
      <c r="B2702" t="str">
        <f>"Фара левая (корп"</f>
        <v>Фара левая (корп</v>
      </c>
      <c r="C2702">
        <v>2</v>
      </c>
      <c r="D2702">
        <v>8384.8079999999991</v>
      </c>
    </row>
    <row r="2703" spans="1:4">
      <c r="A2703" t="str">
        <f>"26075-EQ30C"</f>
        <v>26075-EQ30C</v>
      </c>
      <c r="B2703" t="str">
        <f>"Фара левая (корп"</f>
        <v>Фара левая (корп</v>
      </c>
      <c r="C2703">
        <v>2</v>
      </c>
      <c r="D2703">
        <v>17322.863999999998</v>
      </c>
    </row>
    <row r="2704" spans="1:4">
      <c r="A2704" t="str">
        <f>"26075-JG40A"</f>
        <v>26075-JG40A</v>
      </c>
      <c r="B2704" t="str">
        <f>"Фара левая (корп"</f>
        <v>Фара левая (корп</v>
      </c>
      <c r="C2704">
        <v>4</v>
      </c>
      <c r="D2704">
        <v>7909.4879999999994</v>
      </c>
    </row>
    <row r="2705" spans="1:4">
      <c r="A2705" t="str">
        <f>"26075-JG45A"</f>
        <v>26075-JG45A</v>
      </c>
      <c r="B2705" t="str">
        <f>"Фара левая (корп"</f>
        <v>Фара левая (корп</v>
      </c>
      <c r="C2705">
        <v>3</v>
      </c>
      <c r="D2705">
        <v>12859.344000000001</v>
      </c>
    </row>
    <row r="2706" spans="1:4">
      <c r="A2706" t="str">
        <f>"26075-JG45C"</f>
        <v>26075-JG45C</v>
      </c>
      <c r="B2706" t="str">
        <f>"Фара (корпус)"</f>
        <v>Фара (корпус)</v>
      </c>
      <c r="C2706">
        <v>0</v>
      </c>
      <c r="D2706">
        <v>12350.975999999999</v>
      </c>
    </row>
    <row r="2707" spans="1:4">
      <c r="A2707" t="str">
        <f>"26075-JN95A"</f>
        <v>26075-JN95A</v>
      </c>
      <c r="B2707" t="str">
        <f>"Фара левая (корп"</f>
        <v>Фара левая (корп</v>
      </c>
      <c r="C2707">
        <v>0</v>
      </c>
      <c r="D2707">
        <v>23306.592000000001</v>
      </c>
    </row>
    <row r="2708" spans="1:4">
      <c r="A2708" t="str">
        <f>"26092-7F000"</f>
        <v>26092-7F000</v>
      </c>
      <c r="B2708" t="str">
        <f>"BRACKET ASSY-HE"</f>
        <v>BRACKET ASSY-HE</v>
      </c>
      <c r="C2708">
        <v>3</v>
      </c>
      <c r="D2708">
        <v>1312.9439999999997</v>
      </c>
    </row>
    <row r="2709" spans="1:4">
      <c r="A2709" t="str">
        <f>"26092-EB000"</f>
        <v>26092-EB000</v>
      </c>
      <c r="B2709" t="str">
        <f>"ДЕРЖАТЕЛЬ"</f>
        <v>ДЕРЖАТЕЛЬ</v>
      </c>
      <c r="C2709">
        <v>0</v>
      </c>
      <c r="D2709">
        <v>580.99199999999996</v>
      </c>
    </row>
    <row r="2710" spans="1:4">
      <c r="A2710" t="str">
        <f>"26098-VB000"</f>
        <v>26098-VB000</v>
      </c>
      <c r="B2710" t="str">
        <f>"GROMMET"</f>
        <v>GROMMET</v>
      </c>
      <c r="C2710">
        <v>0</v>
      </c>
      <c r="D2710">
        <v>67.319999999999993</v>
      </c>
    </row>
    <row r="2711" spans="1:4">
      <c r="A2711" t="str">
        <f>"26110-VB129"</f>
        <v>26110-VB129</v>
      </c>
      <c r="B2711" t="str">
        <f>"LAMP-SIDE COMBI"</f>
        <v>LAMP-SIDE COMBI</v>
      </c>
      <c r="C2711">
        <v>2</v>
      </c>
      <c r="D2711">
        <v>1987.7759999999998</v>
      </c>
    </row>
    <row r="2712" spans="1:4">
      <c r="A2712" t="str">
        <f>"26110-VC20A"</f>
        <v>26110-VC20A</v>
      </c>
      <c r="B2712" t="str">
        <f>"Фонарь указателя пов"</f>
        <v>Фонарь указателя пов</v>
      </c>
      <c r="C2712">
        <v>5</v>
      </c>
      <c r="D2712">
        <v>2044.4879999999998</v>
      </c>
    </row>
    <row r="2713" spans="1:4">
      <c r="A2713" t="str">
        <f>"26110-WD026"</f>
        <v>26110-WD026</v>
      </c>
      <c r="B2713" t="str">
        <f>"LAMP-SIDE COMBI"</f>
        <v>LAMP-SIDE COMBI</v>
      </c>
      <c r="C2713">
        <v>1</v>
      </c>
      <c r="D2713">
        <v>1558.152</v>
      </c>
    </row>
    <row r="2714" spans="1:4">
      <c r="A2714" t="str">
        <f>"26115-VB129"</f>
        <v>26115-VB129</v>
      </c>
      <c r="B2714" t="str">
        <f>"LAMP SIDE-COMBI"</f>
        <v>LAMP SIDE-COMBI</v>
      </c>
      <c r="C2714">
        <v>5</v>
      </c>
      <c r="D2714">
        <v>2289.6959999999999</v>
      </c>
    </row>
    <row r="2715" spans="1:4">
      <c r="A2715" t="str">
        <f>"26115-VC20A"</f>
        <v>26115-VC20A</v>
      </c>
      <c r="B2715" t="str">
        <f>"Фонарь габаритных ог"</f>
        <v>Фонарь габаритных ог</v>
      </c>
      <c r="C2715">
        <v>2</v>
      </c>
      <c r="D2715">
        <v>2021.2319999999997</v>
      </c>
    </row>
    <row r="2716" spans="1:4">
      <c r="A2716" t="str">
        <f>"26115-WD026"</f>
        <v>26115-WD026</v>
      </c>
      <c r="B2716" t="str">
        <f>"LAMP SIDE-COMBI"</f>
        <v>LAMP SIDE-COMBI</v>
      </c>
      <c r="C2716">
        <v>0</v>
      </c>
      <c r="D2716">
        <v>1514.4959999999999</v>
      </c>
    </row>
    <row r="2717" spans="1:4">
      <c r="A2717" t="str">
        <f>"26115-WD225"</f>
        <v>26115-WD225</v>
      </c>
      <c r="B2717" t="str">
        <f>"Фонарь габаритных ог"</f>
        <v>Фонарь габаритных ог</v>
      </c>
      <c r="C2717">
        <v>5</v>
      </c>
      <c r="D2717">
        <v>1483.4880000000001</v>
      </c>
    </row>
    <row r="2718" spans="1:4">
      <c r="A2718" t="str">
        <f>"26120-1KL0B"</f>
        <v>26120-1KL0B</v>
      </c>
      <c r="B2718" t="str">
        <f>"Фонарь указателя пов"</f>
        <v>Фонарь указателя пов</v>
      </c>
      <c r="C2718">
        <v>1</v>
      </c>
      <c r="D2718">
        <v>4275.4319999999998</v>
      </c>
    </row>
    <row r="2719" spans="1:4">
      <c r="A2719" t="str">
        <f>"26120-95F0A"</f>
        <v>26120-95F0A</v>
      </c>
      <c r="B2719" t="str">
        <f>"Фонарь указателя пов"</f>
        <v>Фонарь указателя пов</v>
      </c>
      <c r="C2719">
        <v>13</v>
      </c>
      <c r="D2719">
        <v>1441.056</v>
      </c>
    </row>
    <row r="2720" spans="1:4">
      <c r="A2720" t="str">
        <f>"26124-53U01"</f>
        <v>26124-53U01</v>
      </c>
      <c r="B2720" t="str">
        <f>"BODY ASSY-RH"</f>
        <v>BODY ASSY-RH</v>
      </c>
      <c r="C2720">
        <v>1</v>
      </c>
      <c r="D2720">
        <v>1502.664</v>
      </c>
    </row>
    <row r="2721" spans="1:4">
      <c r="A2721" t="str">
        <f>"26124-VB101"</f>
        <v>26124-VB101</v>
      </c>
      <c r="B2721" t="str">
        <f>"LENS-SIDE COMBI"</f>
        <v>LENS-SIDE COMBI</v>
      </c>
      <c r="C2721">
        <v>1</v>
      </c>
      <c r="D2721">
        <v>1672.8</v>
      </c>
    </row>
    <row r="2722" spans="1:4">
      <c r="A2722" t="str">
        <f>"26125-1KL0B"</f>
        <v>26125-1KL0B</v>
      </c>
      <c r="B2722" t="str">
        <f>"Фонарь указателя пов"</f>
        <v>Фонарь указателя пов</v>
      </c>
      <c r="C2722">
        <v>3</v>
      </c>
      <c r="D2722">
        <v>4422.7199999999993</v>
      </c>
    </row>
    <row r="2723" spans="1:4">
      <c r="A2723" t="str">
        <f>"26125-95F0A"</f>
        <v>26125-95F0A</v>
      </c>
      <c r="B2723" t="str">
        <f>"Фонарь указателя пов"</f>
        <v>Фонарь указателя пов</v>
      </c>
      <c r="C2723">
        <v>11</v>
      </c>
      <c r="D2723">
        <v>1450.0319999999999</v>
      </c>
    </row>
    <row r="2724" spans="1:4">
      <c r="A2724" t="str">
        <f>"26129-VB120"</f>
        <v>26129-VB120</v>
      </c>
      <c r="B2724" t="str">
        <f>"LENS-SIDE COMBI"</f>
        <v>LENS-SIDE COMBI</v>
      </c>
      <c r="C2724">
        <v>2</v>
      </c>
      <c r="D2724">
        <v>1724.616</v>
      </c>
    </row>
    <row r="2725" spans="1:4">
      <c r="A2725" t="str">
        <f>"26130-0F000"</f>
        <v>26130-0F000</v>
      </c>
      <c r="B2725" t="str">
        <f>"STOPPER"</f>
        <v>STOPPER</v>
      </c>
      <c r="C2725">
        <v>1</v>
      </c>
      <c r="D2725">
        <v>1085.28</v>
      </c>
    </row>
    <row r="2726" spans="1:4">
      <c r="A2726" t="str">
        <f>"26130-0X001"</f>
        <v>26130-0X001</v>
      </c>
      <c r="B2726" t="str">
        <f>"LAMP ASSY-TURN"</f>
        <v>LAMP ASSY-TURN</v>
      </c>
      <c r="C2726">
        <v>0</v>
      </c>
      <c r="D2726">
        <v>1208.4960000000001</v>
      </c>
    </row>
    <row r="2727" spans="1:4">
      <c r="A2727" t="str">
        <f>"26130-43U26"</f>
        <v>26130-43U26</v>
      </c>
      <c r="B2727" t="str">
        <f>"LAMP ASSY-FR TU"</f>
        <v>LAMP ASSY-FR TU</v>
      </c>
      <c r="C2727">
        <v>2</v>
      </c>
      <c r="D2727">
        <v>2286.4319999999998</v>
      </c>
    </row>
    <row r="2728" spans="1:4">
      <c r="A2728" t="str">
        <f>"26130-7F000"</f>
        <v>26130-7F000</v>
      </c>
      <c r="B2728" t="str">
        <f>"LAMP ASSY TURN"</f>
        <v>LAMP ASSY TURN</v>
      </c>
      <c r="C2728">
        <v>2</v>
      </c>
      <c r="D2728">
        <v>1410.048</v>
      </c>
    </row>
    <row r="2729" spans="1:4">
      <c r="A2729" t="str">
        <f>"26130-8H70A"</f>
        <v>26130-8H70A</v>
      </c>
      <c r="B2729" t="str">
        <f>"Фонарь указателя пов"</f>
        <v>Фонарь указателя пов</v>
      </c>
      <c r="C2729">
        <v>12</v>
      </c>
      <c r="D2729">
        <v>1788.2639999999999</v>
      </c>
    </row>
    <row r="2730" spans="1:4">
      <c r="A2730" t="str">
        <f>"26130-AX600"</f>
        <v>26130-AX600</v>
      </c>
      <c r="B2730" t="str">
        <f>"LAMP ASSY-TURN"</f>
        <v>LAMP ASSY-TURN</v>
      </c>
      <c r="C2730">
        <v>2</v>
      </c>
      <c r="D2730">
        <v>1299.8879999999999</v>
      </c>
    </row>
    <row r="2731" spans="1:4">
      <c r="A2731" t="str">
        <f>"26130-AX610"</f>
        <v>26130-AX610</v>
      </c>
      <c r="B2731" t="str">
        <f>"LAMP ASSY-TURN"</f>
        <v>LAMP ASSY-TURN</v>
      </c>
      <c r="C2731">
        <v>2</v>
      </c>
      <c r="D2731">
        <v>1264.8</v>
      </c>
    </row>
    <row r="2732" spans="1:4">
      <c r="A2732" t="str">
        <f>"26130-BC400"</f>
        <v>26130-BC400</v>
      </c>
      <c r="B2732" t="str">
        <f>"Фонарь указателя пов"</f>
        <v>Фонарь указателя пов</v>
      </c>
      <c r="C2732">
        <v>9</v>
      </c>
      <c r="D2732">
        <v>1186.8719999999998</v>
      </c>
    </row>
    <row r="2733" spans="1:4">
      <c r="A2733" t="str">
        <f>"26130-BG01A"</f>
        <v>26130-BG01A</v>
      </c>
      <c r="B2733" t="str">
        <f>"Фонарь указателя пов"</f>
        <v>Фонарь указателя пов</v>
      </c>
      <c r="C2733">
        <v>1</v>
      </c>
      <c r="D2733">
        <v>1308.4560000000001</v>
      </c>
    </row>
    <row r="2734" spans="1:4">
      <c r="A2734" t="str">
        <f>"26134-76N00"</f>
        <v>26134-76N00</v>
      </c>
      <c r="B2734" t="str">
        <f>"LENS-FRONT TURN"</f>
        <v>LENS-FRONT TURN</v>
      </c>
      <c r="C2734">
        <v>4</v>
      </c>
      <c r="D2734">
        <v>730.72800000000007</v>
      </c>
    </row>
    <row r="2735" spans="1:4">
      <c r="A2735" t="str">
        <f>"26134-8H70A"</f>
        <v>26134-8H70A</v>
      </c>
      <c r="B2735" t="str">
        <f>"Фонарь указателя пов"</f>
        <v>Фонарь указателя пов</v>
      </c>
      <c r="C2735">
        <v>14</v>
      </c>
      <c r="D2735">
        <v>1425.5519999999999</v>
      </c>
    </row>
    <row r="2736" spans="1:4">
      <c r="A2736" t="str">
        <f>"26135-0F000"</f>
        <v>26135-0F000</v>
      </c>
      <c r="B2736" t="str">
        <f>"LAMP ASSY-TURN"</f>
        <v>LAMP ASSY-TURN</v>
      </c>
      <c r="C2736">
        <v>1</v>
      </c>
      <c r="D2736">
        <v>900.04799999999989</v>
      </c>
    </row>
    <row r="2737" spans="1:4">
      <c r="A2737" t="str">
        <f>"26135-0X001"</f>
        <v>26135-0X001</v>
      </c>
      <c r="B2737" t="str">
        <f>"LAMP ASSY-TURN"</f>
        <v>LAMP ASSY-TURN</v>
      </c>
      <c r="C2737">
        <v>2</v>
      </c>
      <c r="D2737">
        <v>1172.184</v>
      </c>
    </row>
    <row r="2738" spans="1:4">
      <c r="A2738" t="str">
        <f>"26135-2N325"</f>
        <v>26135-2N325</v>
      </c>
      <c r="B2738" t="str">
        <f>"LAMP ASSY-TURN"</f>
        <v>LAMP ASSY-TURN</v>
      </c>
      <c r="C2738">
        <v>2</v>
      </c>
      <c r="D2738">
        <v>1006.944</v>
      </c>
    </row>
    <row r="2739" spans="1:4">
      <c r="A2739" t="str">
        <f>"26135-7F000"</f>
        <v>26135-7F000</v>
      </c>
      <c r="B2739" t="str">
        <f>"LAMP ASS-TRN FR"</f>
        <v>LAMP ASS-TRN FR</v>
      </c>
      <c r="C2739">
        <v>1</v>
      </c>
      <c r="D2739">
        <v>1385.568</v>
      </c>
    </row>
    <row r="2740" spans="1:4">
      <c r="A2740" t="str">
        <f>"26135-8H70A"</f>
        <v>26135-8H70A</v>
      </c>
      <c r="B2740" t="str">
        <f>"Фонарь указателя пов"</f>
        <v>Фонарь указателя пов</v>
      </c>
      <c r="C2740">
        <v>15</v>
      </c>
      <c r="D2740">
        <v>1823.3520000000001</v>
      </c>
    </row>
    <row r="2741" spans="1:4">
      <c r="A2741" t="str">
        <f>"26135-AX600"</f>
        <v>26135-AX600</v>
      </c>
      <c r="B2741" t="str">
        <f>"LAMP ASSY-TURN"</f>
        <v>LAMP ASSY-TURN</v>
      </c>
      <c r="C2741">
        <v>3</v>
      </c>
      <c r="D2741">
        <v>1288.4639999999999</v>
      </c>
    </row>
    <row r="2742" spans="1:4">
      <c r="A2742" t="str">
        <f>"26135-BC400"</f>
        <v>26135-BC400</v>
      </c>
      <c r="B2742" t="str">
        <f>"Фонарь указателя пов"</f>
        <v>Фонарь указателя пов</v>
      </c>
      <c r="C2742">
        <v>10</v>
      </c>
      <c r="D2742">
        <v>1032.24</v>
      </c>
    </row>
    <row r="2743" spans="1:4">
      <c r="A2743" t="str">
        <f>"26135-BG01A"</f>
        <v>26135-BG01A</v>
      </c>
      <c r="B2743" t="str">
        <f>"Фонарь указателя пов"</f>
        <v>Фонарь указателя пов</v>
      </c>
      <c r="C2743">
        <v>1</v>
      </c>
      <c r="D2743">
        <v>1316.2079999999999</v>
      </c>
    </row>
    <row r="2744" spans="1:4">
      <c r="A2744" t="str">
        <f>"26135-BM415"</f>
        <v>26135-BM415</v>
      </c>
      <c r="B2744" t="str">
        <f>"LAMP ASSY-TURN"</f>
        <v>LAMP ASSY-TURN</v>
      </c>
      <c r="C2744">
        <v>0</v>
      </c>
      <c r="D2744">
        <v>1317.0239999999999</v>
      </c>
    </row>
    <row r="2745" spans="1:4">
      <c r="A2745" t="str">
        <f>"26139-2F000"</f>
        <v>26139-2F000</v>
      </c>
      <c r="B2745" t="str">
        <f>"BODY ASSY-FRONT"</f>
        <v>BODY ASSY-FRONT</v>
      </c>
      <c r="C2745">
        <v>0</v>
      </c>
      <c r="D2745">
        <v>1020</v>
      </c>
    </row>
    <row r="2746" spans="1:4">
      <c r="A2746" t="str">
        <f>"26139-76N00"</f>
        <v>26139-76N00</v>
      </c>
      <c r="B2746" t="str">
        <f>"LENS-TURN SIGNL"</f>
        <v>LENS-TURN SIGNL</v>
      </c>
      <c r="C2746">
        <v>2</v>
      </c>
      <c r="D2746">
        <v>711.95999999999992</v>
      </c>
    </row>
    <row r="2747" spans="1:4">
      <c r="A2747" t="str">
        <f>"26139-8H70A"</f>
        <v>26139-8H70A</v>
      </c>
      <c r="B2747" t="str">
        <f>"Фонарь указателя пов"</f>
        <v>Фонарь указателя пов</v>
      </c>
      <c r="C2747">
        <v>6</v>
      </c>
      <c r="D2747">
        <v>1430.4479999999999</v>
      </c>
    </row>
    <row r="2748" spans="1:4">
      <c r="A2748" t="str">
        <f>"26150-2F025"</f>
        <v>26150-2F025</v>
      </c>
      <c r="B2748" t="str">
        <f>"LAMP ASSY-FOG,R"</f>
        <v>LAMP ASSY-FOG,R</v>
      </c>
      <c r="C2748">
        <v>1</v>
      </c>
      <c r="D2748">
        <v>4474.1279999999997</v>
      </c>
    </row>
    <row r="2749" spans="1:4">
      <c r="A2749" t="str">
        <f>"26150-3W725"</f>
        <v>26150-3W725</v>
      </c>
      <c r="B2749" t="str">
        <f>"LAMP FOG RH"</f>
        <v>LAMP FOG RH</v>
      </c>
      <c r="C2749">
        <v>7</v>
      </c>
      <c r="D2749">
        <v>8375.8319999999985</v>
      </c>
    </row>
    <row r="2750" spans="1:4">
      <c r="A2750" t="str">
        <f>"26150-5Y104"</f>
        <v>26150-5Y104</v>
      </c>
      <c r="B2750" t="str">
        <f>"Фара противотуманная"</f>
        <v>Фара противотуманная</v>
      </c>
      <c r="C2750">
        <v>2</v>
      </c>
      <c r="D2750">
        <v>6424.3680000000004</v>
      </c>
    </row>
    <row r="2751" spans="1:4">
      <c r="A2751" t="str">
        <f>"26150-7W50B"</f>
        <v>26150-7W50B</v>
      </c>
      <c r="B2751" t="str">
        <f>"Фара противотуманная"</f>
        <v>Фара противотуманная</v>
      </c>
      <c r="C2751">
        <v>16</v>
      </c>
      <c r="D2751">
        <v>7109.808</v>
      </c>
    </row>
    <row r="2752" spans="1:4">
      <c r="A2752" t="str">
        <f>"26150-8992B"</f>
        <v>26150-8992B</v>
      </c>
      <c r="B2752" t="str">
        <f>"Фара противотуманная"</f>
        <v>Фара противотуманная</v>
      </c>
      <c r="C2752">
        <v>18</v>
      </c>
      <c r="D2752">
        <v>2682.1919999999996</v>
      </c>
    </row>
    <row r="2753" spans="1:4">
      <c r="A2753" t="str">
        <f>"26150-8992C"</f>
        <v>26150-8992C</v>
      </c>
      <c r="B2753" t="str">
        <f>"Фара противотуманная"</f>
        <v>Фара противотуманная</v>
      </c>
      <c r="C2753">
        <v>2</v>
      </c>
      <c r="D2753">
        <v>1627.104</v>
      </c>
    </row>
    <row r="2754" spans="1:4">
      <c r="A2754" t="str">
        <f>"26150-8993B"</f>
        <v>26150-8993B</v>
      </c>
      <c r="B2754" t="str">
        <f>"Фара противотуманная"</f>
        <v>Фара противотуманная</v>
      </c>
      <c r="C2754">
        <v>1</v>
      </c>
      <c r="D2754">
        <v>6152.2319999999991</v>
      </c>
    </row>
    <row r="2755" spans="1:4">
      <c r="A2755" t="str">
        <f>"26150-89986"</f>
        <v>26150-89986</v>
      </c>
      <c r="B2755" t="str">
        <f>"LAMP ASSY-FOG,R"</f>
        <v>LAMP ASSY-FOG,R</v>
      </c>
      <c r="C2755">
        <v>3</v>
      </c>
      <c r="D2755">
        <v>4624.2719999999999</v>
      </c>
    </row>
    <row r="2756" spans="1:4">
      <c r="A2756" t="str">
        <f>"26150-8J000"</f>
        <v>26150-8J000</v>
      </c>
      <c r="B2756" t="str">
        <f>"Фара противотуманная"</f>
        <v>Фара противотуманная</v>
      </c>
      <c r="C2756">
        <v>12</v>
      </c>
      <c r="D2756">
        <v>5153.4479999999994</v>
      </c>
    </row>
    <row r="2757" spans="1:4">
      <c r="A2757" t="str">
        <f>"26150-9F925"</f>
        <v>26150-9F925</v>
      </c>
      <c r="B2757" t="str">
        <f>"LAMP ASSY-FOG,R"</f>
        <v>LAMP ASSY-FOG,R</v>
      </c>
      <c r="C2757">
        <v>1</v>
      </c>
      <c r="D2757">
        <v>4475.76</v>
      </c>
    </row>
    <row r="2758" spans="1:4">
      <c r="A2758" t="str">
        <f>"26150-9F926"</f>
        <v>26150-9F926</v>
      </c>
      <c r="B2758" t="str">
        <f>"LAMP ASSY-FOG,R"</f>
        <v>LAMP ASSY-FOG,R</v>
      </c>
      <c r="C2758">
        <v>0</v>
      </c>
      <c r="D2758">
        <v>4582.6559999999999</v>
      </c>
    </row>
    <row r="2759" spans="1:4">
      <c r="A2759" t="str">
        <f>"26150-EA525"</f>
        <v>26150-EA525</v>
      </c>
      <c r="B2759" t="str">
        <f>"Фара противотуманная"</f>
        <v>Фара противотуманная</v>
      </c>
      <c r="C2759">
        <v>1</v>
      </c>
      <c r="D2759">
        <v>3724.6320000000001</v>
      </c>
    </row>
    <row r="2760" spans="1:4">
      <c r="A2760" t="str">
        <f>"26150-VC30A"</f>
        <v>26150-VC30A</v>
      </c>
      <c r="B2760" t="str">
        <f>"Фара противотуманная"</f>
        <v>Фара противотуманная</v>
      </c>
      <c r="C2760">
        <v>0</v>
      </c>
      <c r="D2760">
        <v>6682.6319999999996</v>
      </c>
    </row>
    <row r="2761" spans="1:4">
      <c r="A2761" t="str">
        <f>"26150-ZQ50A"</f>
        <v>26150-ZQ50A</v>
      </c>
      <c r="B2761" t="str">
        <f>"Фара противотуманная"</f>
        <v>Фара противотуманная</v>
      </c>
      <c r="C2761">
        <v>4</v>
      </c>
      <c r="D2761">
        <v>8838.503999999999</v>
      </c>
    </row>
    <row r="2762" spans="1:4">
      <c r="A2762" t="str">
        <f>"26152-2F000"</f>
        <v>26152-2F000</v>
      </c>
      <c r="B2762" t="str">
        <f>"RIM-FOG LAMP"</f>
        <v>RIM-FOG LAMP</v>
      </c>
      <c r="C2762">
        <v>1</v>
      </c>
      <c r="D2762">
        <v>445.53599999999994</v>
      </c>
    </row>
    <row r="2763" spans="1:4">
      <c r="A2763" t="str">
        <f>"26152-3W700"</f>
        <v>26152-3W700</v>
      </c>
      <c r="B2763" t="str">
        <f>"RIM-FOG LAMP,RH"</f>
        <v>RIM-FOG LAMP,RH</v>
      </c>
      <c r="C2763">
        <v>4</v>
      </c>
      <c r="D2763">
        <v>1191.768</v>
      </c>
    </row>
    <row r="2764" spans="1:4">
      <c r="A2764" t="str">
        <f>"26152-5Y104"</f>
        <v>26152-5Y104</v>
      </c>
      <c r="B2764" t="str">
        <f>"RIM-FOG LAMP,RH"</f>
        <v>RIM-FOG LAMP,RH</v>
      </c>
      <c r="C2764">
        <v>2</v>
      </c>
      <c r="D2764">
        <v>1334.568</v>
      </c>
    </row>
    <row r="2765" spans="1:4">
      <c r="A2765" t="str">
        <f>"26154-3Y500"</f>
        <v>26154-3Y500</v>
      </c>
      <c r="B2765" t="str">
        <f>"LAMP UNIT-FOG"</f>
        <v>LAMP UNIT-FOG</v>
      </c>
      <c r="C2765">
        <v>3</v>
      </c>
      <c r="D2765">
        <v>4147.32</v>
      </c>
    </row>
    <row r="2766" spans="1:4">
      <c r="A2766" t="str">
        <f>"26154-VC30A"</f>
        <v>26154-VC30A</v>
      </c>
      <c r="B2766" t="str">
        <f>"Фара проивотуман"</f>
        <v>Фара проивотуман</v>
      </c>
      <c r="C2766">
        <v>1</v>
      </c>
      <c r="D2766">
        <v>6276.6720000000005</v>
      </c>
    </row>
    <row r="2767" spans="1:4">
      <c r="A2767" t="str">
        <f>"26155-2F025"</f>
        <v>26155-2F025</v>
      </c>
      <c r="B2767" t="str">
        <f>"LAMP ASSY-FOG,L"</f>
        <v>LAMP ASSY-FOG,L</v>
      </c>
      <c r="C2767">
        <v>2</v>
      </c>
      <c r="D2767">
        <v>4590</v>
      </c>
    </row>
    <row r="2768" spans="1:4">
      <c r="A2768" t="str">
        <f>"26155-3W725"</f>
        <v>26155-3W725</v>
      </c>
      <c r="B2768" t="str">
        <f>"LAMP FOG LH"</f>
        <v>LAMP FOG LH</v>
      </c>
      <c r="C2768">
        <v>8</v>
      </c>
      <c r="D2768">
        <v>8375.8319999999985</v>
      </c>
    </row>
    <row r="2769" spans="1:4">
      <c r="A2769" t="str">
        <f>"26155-5Y104"</f>
        <v>26155-5Y104</v>
      </c>
      <c r="B2769" t="str">
        <f>"Фара противотуманная"</f>
        <v>Фара противотуманная</v>
      </c>
      <c r="C2769">
        <v>1</v>
      </c>
      <c r="D2769">
        <v>6215.8799999999992</v>
      </c>
    </row>
    <row r="2770" spans="1:4">
      <c r="A2770" t="str">
        <f>"26155-5Y516"</f>
        <v>26155-5Y516</v>
      </c>
      <c r="B2770" t="str">
        <f>"Фара противотуманная"</f>
        <v>Фара противотуманная</v>
      </c>
      <c r="C2770">
        <v>2</v>
      </c>
      <c r="D2770">
        <v>6442.7279999999992</v>
      </c>
    </row>
    <row r="2771" spans="1:4">
      <c r="A2771" t="str">
        <f>"26155-7W50B"</f>
        <v>26155-7W50B</v>
      </c>
      <c r="B2771" t="str">
        <f>"Фара противотуманная"</f>
        <v>Фара противотуманная</v>
      </c>
      <c r="C2771">
        <v>12</v>
      </c>
      <c r="D2771">
        <v>5911.92</v>
      </c>
    </row>
    <row r="2772" spans="1:4">
      <c r="A2772" t="str">
        <f>"26155-89986"</f>
        <v>26155-89986</v>
      </c>
      <c r="B2772" t="str">
        <f>"LAMP ASSY-FOG,L"</f>
        <v>LAMP ASSY-FOG,L</v>
      </c>
      <c r="C2772">
        <v>2</v>
      </c>
      <c r="D2772">
        <v>4519.4159999999993</v>
      </c>
    </row>
    <row r="2773" spans="1:4">
      <c r="A2773" t="str">
        <f>"26155-8J000"</f>
        <v>26155-8J000</v>
      </c>
      <c r="B2773" t="str">
        <f>"Фара противотуманная"</f>
        <v>Фара противотуманная</v>
      </c>
      <c r="C2773">
        <v>12</v>
      </c>
      <c r="D2773">
        <v>4812.3599999999997</v>
      </c>
    </row>
    <row r="2774" spans="1:4">
      <c r="A2774" t="str">
        <f>"26155-9F926"</f>
        <v>26155-9F926</v>
      </c>
      <c r="B2774" t="str">
        <f>"LAMP ASSY-FOG,L"</f>
        <v>LAMP ASSY-FOG,L</v>
      </c>
      <c r="C2774">
        <v>0</v>
      </c>
      <c r="D2774">
        <v>4564.2959999999994</v>
      </c>
    </row>
    <row r="2775" spans="1:4">
      <c r="A2775" t="str">
        <f>"26155-EA525"</f>
        <v>26155-EA525</v>
      </c>
      <c r="B2775" t="str">
        <f>"Фара противотуманная"</f>
        <v>Фара противотуманная</v>
      </c>
      <c r="C2775">
        <v>8</v>
      </c>
      <c r="D2775">
        <v>4206.0720000000001</v>
      </c>
    </row>
    <row r="2776" spans="1:4">
      <c r="A2776" t="str">
        <f>"26155-VC30A"</f>
        <v>26155-VC30A</v>
      </c>
      <c r="B2776" t="str">
        <f>"Фара противотуманная"</f>
        <v>Фара противотуманная</v>
      </c>
      <c r="C2776">
        <v>3</v>
      </c>
      <c r="D2776">
        <v>6682.6319999999996</v>
      </c>
    </row>
    <row r="2777" spans="1:4">
      <c r="A2777" t="str">
        <f>"26155-ZQ50A"</f>
        <v>26155-ZQ50A</v>
      </c>
      <c r="B2777" t="str">
        <f>"Фара противотуманная"</f>
        <v>Фара противотуманная</v>
      </c>
      <c r="C2777">
        <v>2</v>
      </c>
      <c r="D2777">
        <v>8973.9599999999991</v>
      </c>
    </row>
    <row r="2778" spans="1:4">
      <c r="A2778" t="str">
        <f>"26157-2F000"</f>
        <v>26157-2F000</v>
      </c>
      <c r="B2778" t="str">
        <f>"RIM-FOG LAMP,LH"</f>
        <v>RIM-FOG LAMP,LH</v>
      </c>
      <c r="C2778">
        <v>1</v>
      </c>
      <c r="D2778">
        <v>456.96</v>
      </c>
    </row>
    <row r="2779" spans="1:4">
      <c r="A2779" t="str">
        <f>"26157-3W700"</f>
        <v>26157-3W700</v>
      </c>
      <c r="B2779" t="str">
        <f>"RIM-FOG LAMP,LH"</f>
        <v>RIM-FOG LAMP,LH</v>
      </c>
      <c r="C2779">
        <v>4</v>
      </c>
      <c r="D2779">
        <v>1206.864</v>
      </c>
    </row>
    <row r="2780" spans="1:4">
      <c r="A2780" t="str">
        <f>"26157-5Y104"</f>
        <v>26157-5Y104</v>
      </c>
      <c r="B2780" t="str">
        <f>"RIM-FOG LAMP,LH"</f>
        <v>RIM-FOG LAMP,LH</v>
      </c>
      <c r="C2780">
        <v>3</v>
      </c>
      <c r="D2780">
        <v>1306.4159999999999</v>
      </c>
    </row>
    <row r="2781" spans="1:4">
      <c r="A2781" t="str">
        <f>"26159-3Y500"</f>
        <v>26159-3Y500</v>
      </c>
      <c r="B2781" t="str">
        <f>"LAMP UNIT-FOG"</f>
        <v>LAMP UNIT-FOG</v>
      </c>
      <c r="C2781">
        <v>2</v>
      </c>
      <c r="D2781">
        <v>4323.1679999999997</v>
      </c>
    </row>
    <row r="2782" spans="1:4">
      <c r="A2782" t="str">
        <f>"26159-VC30A"</f>
        <v>26159-VC30A</v>
      </c>
      <c r="B2782" t="str">
        <f>"Фара противотуманная"</f>
        <v>Фара противотуманная</v>
      </c>
      <c r="C2782">
        <v>3</v>
      </c>
      <c r="D2782">
        <v>6265.2479999999996</v>
      </c>
    </row>
    <row r="2783" spans="1:4">
      <c r="A2783" t="str">
        <f>"26160-0F000"</f>
        <v>26160-0F000</v>
      </c>
      <c r="B2783" t="str">
        <f>"LAMP ASSY-SIDE"</f>
        <v>LAMP ASSY-SIDE</v>
      </c>
      <c r="C2783">
        <v>1</v>
      </c>
      <c r="D2783">
        <v>537.3359999999999</v>
      </c>
    </row>
    <row r="2784" spans="1:4">
      <c r="A2784" t="str">
        <f>"26160-2W100"</f>
        <v>26160-2W100</v>
      </c>
      <c r="B2784" t="str">
        <f>"LAMP ASSY"</f>
        <v>LAMP ASSY</v>
      </c>
      <c r="C2784">
        <v>0</v>
      </c>
      <c r="D2784">
        <v>568.75199999999995</v>
      </c>
    </row>
    <row r="2785" spans="1:4">
      <c r="A2785" t="str">
        <f>"26160-6F605"</f>
        <v>26160-6F605</v>
      </c>
      <c r="B2785" t="str">
        <f>"LAMP ASSY-SIDE"</f>
        <v>LAMP ASSY-SIDE</v>
      </c>
      <c r="C2785">
        <v>0</v>
      </c>
      <c r="D2785">
        <v>616.89600000000007</v>
      </c>
    </row>
    <row r="2786" spans="1:4">
      <c r="A2786" t="str">
        <f>"26160-70N0A"</f>
        <v>26160-70N0A</v>
      </c>
      <c r="B2786" t="str">
        <f>"Повторитель указател"</f>
        <v>Повторитель указател</v>
      </c>
      <c r="C2786">
        <v>9</v>
      </c>
      <c r="D2786">
        <v>611.18399999999997</v>
      </c>
    </row>
    <row r="2787" spans="1:4">
      <c r="A2787" t="str">
        <f>"26160-8990A"</f>
        <v>26160-8990A</v>
      </c>
      <c r="B2787" t="str">
        <f>"Повторитель указател"</f>
        <v>Повторитель указател</v>
      </c>
      <c r="C2787">
        <v>14</v>
      </c>
      <c r="D2787">
        <v>612.4079999999999</v>
      </c>
    </row>
    <row r="2788" spans="1:4">
      <c r="A2788" t="str">
        <f>"26160-90J00"</f>
        <v>26160-90J00</v>
      </c>
      <c r="B2788" t="str">
        <f>"LAMP ASSY-SIDE"</f>
        <v>LAMP ASSY-SIDE</v>
      </c>
      <c r="C2788">
        <v>2</v>
      </c>
      <c r="D2788">
        <v>591.19200000000001</v>
      </c>
    </row>
    <row r="2789" spans="1:4">
      <c r="A2789" t="str">
        <f>"26160-95F0A"</f>
        <v>26160-95F0A</v>
      </c>
      <c r="B2789" t="str">
        <f>"Повторитель указател"</f>
        <v>Повторитель указател</v>
      </c>
      <c r="C2789">
        <v>22</v>
      </c>
      <c r="D2789">
        <v>678.096</v>
      </c>
    </row>
    <row r="2790" spans="1:4">
      <c r="A2790" t="str">
        <f>"26160-AU300"</f>
        <v>26160-AU300</v>
      </c>
      <c r="B2790" t="str">
        <f>"LAMP ASSY-SIDE"</f>
        <v>LAMP ASSY-SIDE</v>
      </c>
      <c r="C2790">
        <v>2</v>
      </c>
      <c r="D2790">
        <v>541.00799999999992</v>
      </c>
    </row>
    <row r="2791" spans="1:4">
      <c r="A2791" t="str">
        <f>"26160-AX00A"</f>
        <v>26160-AX00A</v>
      </c>
      <c r="B2791" t="str">
        <f>"Повторитель указател"</f>
        <v>Повторитель указател</v>
      </c>
      <c r="C2791">
        <v>20</v>
      </c>
      <c r="D2791">
        <v>483.072</v>
      </c>
    </row>
    <row r="2792" spans="1:4">
      <c r="A2792" t="str">
        <f>"26160-BM400"</f>
        <v>26160-BM400</v>
      </c>
      <c r="B2792" t="str">
        <f>"LAMP ASSY-SIDE"</f>
        <v>LAMP ASSY-SIDE</v>
      </c>
      <c r="C2792">
        <v>2</v>
      </c>
      <c r="D2792">
        <v>627.096</v>
      </c>
    </row>
    <row r="2793" spans="1:4">
      <c r="A2793" t="str">
        <f>"26160-BN40A"</f>
        <v>26160-BN40A</v>
      </c>
      <c r="B2793" t="str">
        <f>"Повторитель указател"</f>
        <v>Повторитель указател</v>
      </c>
      <c r="C2793">
        <v>1</v>
      </c>
      <c r="D2793">
        <v>627.096</v>
      </c>
    </row>
    <row r="2794" spans="1:4">
      <c r="A2794" t="str">
        <f>"26160-EQ00A"</f>
        <v>26160-EQ00A</v>
      </c>
      <c r="B2794" t="str">
        <f>"Повторитель указател"</f>
        <v>Повторитель указател</v>
      </c>
      <c r="C2794">
        <v>22</v>
      </c>
      <c r="D2794">
        <v>625.46400000000006</v>
      </c>
    </row>
    <row r="2795" spans="1:4">
      <c r="A2795" t="str">
        <f>"26160-EW00A"</f>
        <v>26160-EW00A</v>
      </c>
      <c r="B2795" t="str">
        <f>"Повторитель указател"</f>
        <v>Повторитель указател</v>
      </c>
      <c r="C2795">
        <v>34</v>
      </c>
      <c r="D2795">
        <v>616.07999999999993</v>
      </c>
    </row>
    <row r="2796" spans="1:4">
      <c r="A2796" t="str">
        <f>"26160-JK00B"</f>
        <v>26160-JK00B</v>
      </c>
      <c r="B2796" t="str">
        <f>"Повторитель указател"</f>
        <v>Повторитель указател</v>
      </c>
      <c r="C2796">
        <v>12</v>
      </c>
      <c r="D2796">
        <v>698.08799999999997</v>
      </c>
    </row>
    <row r="2797" spans="1:4">
      <c r="A2797" t="str">
        <f>"26160-JN00A"</f>
        <v>26160-JN00A</v>
      </c>
      <c r="B2797" t="str">
        <f>"Повторитель указател"</f>
        <v>Повторитель указател</v>
      </c>
      <c r="C2797">
        <v>15</v>
      </c>
      <c r="D2797">
        <v>2063.6639999999998</v>
      </c>
    </row>
    <row r="2798" spans="1:4">
      <c r="A2798" t="str">
        <f>"26161-2W100"</f>
        <v>26161-2W100</v>
      </c>
      <c r="B2798" t="str">
        <f>"LENS-SIDE FLASH"</f>
        <v>LENS-SIDE FLASH</v>
      </c>
      <c r="C2798">
        <v>3</v>
      </c>
      <c r="D2798">
        <v>499.79999999999995</v>
      </c>
    </row>
    <row r="2799" spans="1:4">
      <c r="A2799" t="str">
        <f>"26164-4X00A"</f>
        <v>26164-4X00A</v>
      </c>
      <c r="B2799" t="str">
        <f>"Повторитель указател"</f>
        <v>Повторитель указател</v>
      </c>
      <c r="C2799">
        <v>7</v>
      </c>
      <c r="D2799">
        <v>2770.7280000000001</v>
      </c>
    </row>
    <row r="2800" spans="1:4">
      <c r="A2800" t="str">
        <f>"26165-4X00A"</f>
        <v>26165-4X00A</v>
      </c>
      <c r="B2800" t="str">
        <f>"Повторитель указател"</f>
        <v>Повторитель указател</v>
      </c>
      <c r="C2800">
        <v>0</v>
      </c>
      <c r="D2800">
        <v>2677.2959999999998</v>
      </c>
    </row>
    <row r="2801" spans="1:4">
      <c r="A2801" t="str">
        <f>"26165-JN00A"</f>
        <v>26165-JN00A</v>
      </c>
      <c r="B2801" t="str">
        <f>"Повторитель указател"</f>
        <v>Повторитель указател</v>
      </c>
      <c r="C2801">
        <v>19</v>
      </c>
      <c r="D2801">
        <v>2075.4959999999996</v>
      </c>
    </row>
    <row r="2802" spans="1:4">
      <c r="A2802" t="str">
        <f>"26180-3Y500"</f>
        <v>26180-3Y500</v>
      </c>
      <c r="B2802" t="str">
        <f>"LAMP ASSY-SIDE"</f>
        <v>LAMP ASSY-SIDE</v>
      </c>
      <c r="C2802">
        <v>17</v>
      </c>
      <c r="D2802">
        <v>817.63199999999995</v>
      </c>
    </row>
    <row r="2803" spans="1:4">
      <c r="A2803" t="str">
        <f>"26185-3Y500"</f>
        <v>26185-3Y500</v>
      </c>
      <c r="B2803" t="str">
        <f>"LAMP ASSY-SIDE"</f>
        <v>LAMP ASSY-SIDE</v>
      </c>
      <c r="C2803">
        <v>5</v>
      </c>
      <c r="D2803">
        <v>817.63199999999995</v>
      </c>
    </row>
    <row r="2804" spans="1:4">
      <c r="A2804" t="str">
        <f>"26190-3Y500"</f>
        <v>26190-3Y500</v>
      </c>
      <c r="B2804" t="str">
        <f>"LAMP ASSY-REAR"</f>
        <v>LAMP ASSY-REAR</v>
      </c>
      <c r="C2804">
        <v>13</v>
      </c>
      <c r="D2804">
        <v>688.29600000000005</v>
      </c>
    </row>
    <row r="2805" spans="1:4">
      <c r="A2805" t="str">
        <f>"26195-3Y500"</f>
        <v>26195-3Y500</v>
      </c>
      <c r="B2805" t="str">
        <f>"LAMP ASSY-RR,LH"</f>
        <v>LAMP ASSY-RR,LH</v>
      </c>
      <c r="C2805">
        <v>14</v>
      </c>
      <c r="D2805">
        <v>704.61599999999987</v>
      </c>
    </row>
    <row r="2806" spans="1:4">
      <c r="A2806" t="str">
        <f>"26230-BN701"</f>
        <v>26230-BN701</v>
      </c>
      <c r="B2806" t="str">
        <f>"Патрон лампочки"</f>
        <v>Патрон лампочки</v>
      </c>
      <c r="C2806">
        <v>5</v>
      </c>
      <c r="D2806">
        <v>372.09599999999995</v>
      </c>
    </row>
    <row r="2807" spans="1:4">
      <c r="A2807" t="str">
        <f>"26232-F1100"</f>
        <v>26232-F1100</v>
      </c>
      <c r="B2807" t="str">
        <f>"BULB(12V10W)"</f>
        <v>BULB(12V10W)</v>
      </c>
      <c r="C2807">
        <v>33</v>
      </c>
      <c r="D2807">
        <v>65.688000000000002</v>
      </c>
    </row>
    <row r="2808" spans="1:4">
      <c r="A2808" t="str">
        <f>"26240-9F500"</f>
        <v>26240-9F500</v>
      </c>
      <c r="B2808" t="str">
        <f>"SOCKET ASSY-CLE"</f>
        <v>SOCKET ASSY-CLE</v>
      </c>
      <c r="C2808">
        <v>1</v>
      </c>
      <c r="D2808">
        <v>385.96799999999996</v>
      </c>
    </row>
    <row r="2809" spans="1:4">
      <c r="A2809" t="str">
        <f>"26244-6F000"</f>
        <v>26244-6F000</v>
      </c>
      <c r="B2809" t="str">
        <f>"SOCKET ASSY-SID"</f>
        <v>SOCKET ASSY-SID</v>
      </c>
      <c r="C2809">
        <v>0</v>
      </c>
      <c r="D2809">
        <v>310.08</v>
      </c>
    </row>
    <row r="2810" spans="1:4">
      <c r="A2810" t="str">
        <f>"26260-S9901"</f>
        <v>26260-S9901</v>
      </c>
      <c r="B2810" t="str">
        <f>"SOCKET BULB"</f>
        <v>SOCKET BULB</v>
      </c>
      <c r="C2810">
        <v>0</v>
      </c>
      <c r="D2810">
        <v>116.68799999999999</v>
      </c>
    </row>
    <row r="2811" spans="1:4">
      <c r="A2811" t="str">
        <f>"26261-04W00"</f>
        <v>26261-04W00</v>
      </c>
      <c r="B2811" t="str">
        <f>"BULB"</f>
        <v>BULB</v>
      </c>
      <c r="C2811">
        <v>8</v>
      </c>
      <c r="D2811">
        <v>106.896</v>
      </c>
    </row>
    <row r="2812" spans="1:4">
      <c r="A2812" t="str">
        <f>"26261-89917"</f>
        <v>26261-89917</v>
      </c>
      <c r="B2812" t="str">
        <f>"BULB-STOP LAMP"</f>
        <v>BULB-STOP LAMP</v>
      </c>
      <c r="C2812">
        <v>29</v>
      </c>
      <c r="D2812">
        <v>94.248000000000005</v>
      </c>
    </row>
    <row r="2813" spans="1:4">
      <c r="A2813" t="str">
        <f>"26261-89947"</f>
        <v>26261-89947</v>
      </c>
      <c r="B2813" t="str">
        <f>"BULB"</f>
        <v>BULB</v>
      </c>
      <c r="C2813">
        <v>48</v>
      </c>
      <c r="D2813">
        <v>97.512</v>
      </c>
    </row>
    <row r="2814" spans="1:4">
      <c r="A2814" t="str">
        <f>"26261-89949"</f>
        <v>26261-89949</v>
      </c>
      <c r="B2814" t="str">
        <f>"BULB"</f>
        <v>BULB</v>
      </c>
      <c r="C2814">
        <v>11</v>
      </c>
      <c r="D2814">
        <v>95.471999999999994</v>
      </c>
    </row>
    <row r="2815" spans="1:4">
      <c r="A2815" t="str">
        <f>"26261-89962"</f>
        <v>26261-89962</v>
      </c>
      <c r="B2815" t="str">
        <f>"BULB"</f>
        <v>BULB</v>
      </c>
      <c r="C2815">
        <v>17</v>
      </c>
      <c r="D2815">
        <v>108.93599999999999</v>
      </c>
    </row>
    <row r="2816" spans="1:4">
      <c r="A2816" t="str">
        <f>"26261-9U00A"</f>
        <v>26261-9U00A</v>
      </c>
      <c r="B2816" t="str">
        <f>"Лампочка заднего фон"</f>
        <v>Лампочка заднего фон</v>
      </c>
      <c r="C2816">
        <v>2</v>
      </c>
      <c r="D2816">
        <v>162.38399999999999</v>
      </c>
    </row>
    <row r="2817" spans="1:4">
      <c r="A2817" t="str">
        <f>"26261-BM500"</f>
        <v>26261-BM500</v>
      </c>
      <c r="B2817" t="str">
        <f>"BULB"</f>
        <v>BULB</v>
      </c>
      <c r="C2817">
        <v>2</v>
      </c>
      <c r="D2817">
        <v>99.144000000000005</v>
      </c>
    </row>
    <row r="2818" spans="1:4">
      <c r="A2818" t="str">
        <f>"26262-01P40"</f>
        <v>26262-01P40</v>
      </c>
      <c r="B2818" t="str">
        <f>"SOCKET BULB"</f>
        <v>SOCKET BULB</v>
      </c>
      <c r="C2818">
        <v>91</v>
      </c>
      <c r="D2818">
        <v>101.18399999999998</v>
      </c>
    </row>
    <row r="2819" spans="1:4">
      <c r="A2819" t="str">
        <f>"26282-5L300"</f>
        <v>26282-5L300</v>
      </c>
      <c r="B2819" t="str">
        <f>"BULB"</f>
        <v>BULB</v>
      </c>
      <c r="C2819">
        <v>10</v>
      </c>
      <c r="D2819">
        <v>62.015999999999998</v>
      </c>
    </row>
    <row r="2820" spans="1:4">
      <c r="A2820" t="str">
        <f>"26282-89900"</f>
        <v>26282-89900</v>
      </c>
      <c r="B2820" t="str">
        <f>"BULB(12V-10W)"</f>
        <v>BULB(12V-10W)</v>
      </c>
      <c r="C2820">
        <v>28</v>
      </c>
      <c r="D2820">
        <v>71.399999999999991</v>
      </c>
    </row>
    <row r="2821" spans="1:4">
      <c r="A2821" t="str">
        <f>"26282-JK00A"</f>
        <v>26282-JK00A</v>
      </c>
      <c r="B2821" t="str">
        <f>"Лампочка освещения с"</f>
        <v>Лампочка освещения с</v>
      </c>
      <c r="C2821">
        <v>3</v>
      </c>
      <c r="D2821">
        <v>152.184</v>
      </c>
    </row>
    <row r="2822" spans="1:4">
      <c r="A2822" t="str">
        <f>"26294-89912"</f>
        <v>26294-89912</v>
      </c>
      <c r="B2822" t="str">
        <f>"Лампочка"</f>
        <v>Лампочка</v>
      </c>
      <c r="C2822">
        <v>3</v>
      </c>
      <c r="D2822">
        <v>1003.2719999999999</v>
      </c>
    </row>
    <row r="2823" spans="1:4">
      <c r="A2823" t="str">
        <f>"26296-9B90D"</f>
        <v>26296-9B90D</v>
      </c>
      <c r="B2823" t="str">
        <f>"Лампочка указателя п"</f>
        <v>Лампочка указателя п</v>
      </c>
      <c r="C2823">
        <v>8</v>
      </c>
      <c r="D2823">
        <v>350.06400000000002</v>
      </c>
    </row>
    <row r="2824" spans="1:4">
      <c r="A2824" t="str">
        <f>"26296-9B90E"</f>
        <v>26296-9B90E</v>
      </c>
      <c r="B2824" t="str">
        <f>"Лампочка 12V 55W HB4"</f>
        <v>Лампочка 12V 55W HB4</v>
      </c>
      <c r="C2824">
        <v>7</v>
      </c>
      <c r="D2824">
        <v>519.79200000000003</v>
      </c>
    </row>
    <row r="2825" spans="1:4">
      <c r="A2825" t="str">
        <f>"26297-89914"</f>
        <v>26297-89914</v>
      </c>
      <c r="B2825" t="str">
        <f>"Лампочка D2S XEN"</f>
        <v>Лампочка D2S XEN</v>
      </c>
      <c r="C2825">
        <v>14</v>
      </c>
      <c r="D2825">
        <v>4725.4560000000001</v>
      </c>
    </row>
    <row r="2826" spans="1:4">
      <c r="A2826" t="str">
        <f>"26297-9B90A"</f>
        <v>26297-9B90A</v>
      </c>
      <c r="B2826" t="str">
        <f>"Лампочка D2R 35W XEN"</f>
        <v>Лампочка D2R 35W XEN</v>
      </c>
      <c r="C2826">
        <v>5</v>
      </c>
      <c r="D2826">
        <v>2432.904</v>
      </c>
    </row>
    <row r="2827" spans="1:4">
      <c r="A2827" t="str">
        <f>"26330-95F0A"</f>
        <v>26330-95F0A</v>
      </c>
      <c r="B2827" t="str">
        <f>"Клаксон"</f>
        <v>Клаксон</v>
      </c>
      <c r="C2827">
        <v>3</v>
      </c>
      <c r="D2827">
        <v>2073.864</v>
      </c>
    </row>
    <row r="2828" spans="1:4">
      <c r="A2828" t="str">
        <f>"26398-2Y001"</f>
        <v>26398-2Y001</v>
      </c>
      <c r="B2828" t="str">
        <f>"CLIP"</f>
        <v>CLIP</v>
      </c>
      <c r="C2828">
        <v>16</v>
      </c>
      <c r="D2828">
        <v>97.103999999999999</v>
      </c>
    </row>
    <row r="2829" spans="1:4">
      <c r="A2829" t="str">
        <f>"26398-4M400"</f>
        <v>26398-4M400</v>
      </c>
      <c r="B2829" t="str">
        <f>"CLIP"</f>
        <v>CLIP</v>
      </c>
      <c r="C2829">
        <v>21</v>
      </c>
      <c r="D2829">
        <v>69.36</v>
      </c>
    </row>
    <row r="2830" spans="1:4">
      <c r="A2830" t="str">
        <f>"26398-CD000"</f>
        <v>26398-CD000</v>
      </c>
      <c r="B2830" t="str">
        <f>"Крышка болта"</f>
        <v>Крышка болта</v>
      </c>
      <c r="C2830">
        <v>60</v>
      </c>
      <c r="D2830">
        <v>150.95999999999998</v>
      </c>
    </row>
    <row r="2831" spans="1:4">
      <c r="A2831" t="str">
        <f>"26398-ED000"</f>
        <v>26398-ED000</v>
      </c>
      <c r="B2831" t="str">
        <f>"Пистон крепления фар"</f>
        <v>Пистон крепления фар</v>
      </c>
      <c r="C2831">
        <v>10</v>
      </c>
      <c r="D2831">
        <v>61.608000000000004</v>
      </c>
    </row>
    <row r="2832" spans="1:4">
      <c r="A2832" t="str">
        <f>"26399-3J110"</f>
        <v>26399-3J110</v>
      </c>
      <c r="B2832" t="str">
        <f>"GROMMET-SCREW"</f>
        <v>GROMMET-SCREW</v>
      </c>
      <c r="C2832">
        <v>13</v>
      </c>
      <c r="D2832">
        <v>19.584</v>
      </c>
    </row>
    <row r="2833" spans="1:4">
      <c r="A2833" t="str">
        <f>"26430-BN71A"</f>
        <v>26430-BN71A</v>
      </c>
      <c r="B2833" t="str">
        <f>"LAMP ASSY-MAP"</f>
        <v>LAMP ASSY-MAP</v>
      </c>
      <c r="C2833">
        <v>4</v>
      </c>
      <c r="D2833">
        <v>4120.8</v>
      </c>
    </row>
    <row r="2834" spans="1:4">
      <c r="A2834" t="str">
        <f>"26447-AL500"</f>
        <v>26447-AL500</v>
      </c>
      <c r="B2834" t="str">
        <f>"Лампочка освещения с"</f>
        <v>Лампочка освещения с</v>
      </c>
      <c r="C2834">
        <v>20</v>
      </c>
      <c r="D2834">
        <v>104.44800000000001</v>
      </c>
    </row>
    <row r="2835" spans="1:4">
      <c r="A2835" t="str">
        <f>"26470-60U0E"</f>
        <v>26470-60U0E</v>
      </c>
      <c r="B2835" t="str">
        <f>"Фонарь багажника"</f>
        <v>Фонарь багажника</v>
      </c>
      <c r="C2835">
        <v>11</v>
      </c>
      <c r="D2835">
        <v>476.95199999999994</v>
      </c>
    </row>
    <row r="2836" spans="1:4">
      <c r="A2836" t="str">
        <f>"26510-8H300"</f>
        <v>26510-8H300</v>
      </c>
      <c r="B2836" t="str">
        <f>"LAMP ASSY-LICEN"</f>
        <v>LAMP ASSY-LICEN</v>
      </c>
      <c r="C2836">
        <v>2</v>
      </c>
      <c r="D2836">
        <v>3177.5039999999999</v>
      </c>
    </row>
    <row r="2837" spans="1:4">
      <c r="A2837" t="str">
        <f>"26510-95F0B"</f>
        <v>26510-95F0B</v>
      </c>
      <c r="B2837" t="str">
        <f>"Фонарь подсветки ном"</f>
        <v>Фонарь подсветки ном</v>
      </c>
      <c r="C2837">
        <v>0</v>
      </c>
      <c r="D2837">
        <v>1034.28</v>
      </c>
    </row>
    <row r="2838" spans="1:4">
      <c r="A2838" t="str">
        <f>"26510-9F600"</f>
        <v>26510-9F600</v>
      </c>
      <c r="B2838" t="str">
        <f>"LAMP ASSY-LICEN"</f>
        <v>LAMP ASSY-LICEN</v>
      </c>
      <c r="C2838">
        <v>1</v>
      </c>
      <c r="D2838">
        <v>1329.2639999999999</v>
      </c>
    </row>
    <row r="2839" spans="1:4">
      <c r="A2839" t="str">
        <f>"26510-9Y00A"</f>
        <v>26510-9Y00A</v>
      </c>
      <c r="B2839" t="str">
        <f>"Фонарь подсветки ном"</f>
        <v>Фонарь подсветки ном</v>
      </c>
      <c r="C2839">
        <v>2</v>
      </c>
      <c r="D2839">
        <v>911.06399999999996</v>
      </c>
    </row>
    <row r="2840" spans="1:4">
      <c r="A2840" t="str">
        <f>"26510-AU300"</f>
        <v>26510-AU300</v>
      </c>
      <c r="B2840" t="str">
        <f>"LAMP ASSY-LICEN"</f>
        <v>LAMP ASSY-LICEN</v>
      </c>
      <c r="C2840">
        <v>4</v>
      </c>
      <c r="D2840">
        <v>929.42399999999998</v>
      </c>
    </row>
    <row r="2841" spans="1:4">
      <c r="A2841" t="str">
        <f>"26510-BG00A"</f>
        <v>26510-BG00A</v>
      </c>
      <c r="B2841" t="str">
        <f>"Фонарь подсветки ном"</f>
        <v>Фонарь подсветки ном</v>
      </c>
      <c r="C2841">
        <v>0</v>
      </c>
      <c r="D2841">
        <v>1030.6079999999999</v>
      </c>
    </row>
    <row r="2842" spans="1:4">
      <c r="A2842" t="str">
        <f>"26510-CD00A"</f>
        <v>26510-CD00A</v>
      </c>
      <c r="B2842" t="str">
        <f>"Фонарь подсветки ном"</f>
        <v>Фонарь подсветки ном</v>
      </c>
      <c r="C2842">
        <v>14</v>
      </c>
      <c r="D2842">
        <v>908.61599999999987</v>
      </c>
    </row>
    <row r="2843" spans="1:4">
      <c r="A2843" t="str">
        <f>"26510-JD00A"</f>
        <v>26510-JD00A</v>
      </c>
      <c r="B2843" t="str">
        <f>"Фонарь подсветки ном"</f>
        <v>Фонарь подсветки ном</v>
      </c>
      <c r="C2843">
        <v>16</v>
      </c>
      <c r="D2843">
        <v>929.42399999999998</v>
      </c>
    </row>
    <row r="2844" spans="1:4">
      <c r="A2844" t="str">
        <f>"26510-ZP50A"</f>
        <v>26510-ZP50A</v>
      </c>
      <c r="B2844" t="str">
        <f>"Фонарь номерного зна"</f>
        <v>Фонарь номерного зна</v>
      </c>
      <c r="C2844">
        <v>9</v>
      </c>
      <c r="D2844">
        <v>679.32</v>
      </c>
    </row>
    <row r="2845" spans="1:4">
      <c r="A2845" t="str">
        <f>"26511-AU300"</f>
        <v>26511-AU300</v>
      </c>
      <c r="B2845" t="str">
        <f>"LENS-LICENCE LA"</f>
        <v>LENS-LICENCE LA</v>
      </c>
      <c r="C2845">
        <v>0</v>
      </c>
      <c r="D2845">
        <v>214.2</v>
      </c>
    </row>
    <row r="2846" spans="1:4">
      <c r="A2846" t="str">
        <f>"26512-VB000"</f>
        <v>26512-VB000</v>
      </c>
      <c r="B2846" t="str">
        <f>"COVER-LICENCE L"</f>
        <v>COVER-LICENCE L</v>
      </c>
      <c r="C2846">
        <v>5</v>
      </c>
      <c r="D2846">
        <v>2657.3040000000001</v>
      </c>
    </row>
    <row r="2847" spans="1:4">
      <c r="A2847" t="str">
        <f>"26540-1AA1A"</f>
        <v>26540-1AA1A</v>
      </c>
      <c r="B2847" t="str">
        <f>"Фонарь пятой двери п"</f>
        <v>Фонарь пятой двери п</v>
      </c>
      <c r="C2847">
        <v>3</v>
      </c>
      <c r="D2847">
        <v>1697.6879999999999</v>
      </c>
    </row>
    <row r="2848" spans="1:4">
      <c r="A2848" t="str">
        <f>"26540-1BA1A"</f>
        <v>26540-1BA1A</v>
      </c>
      <c r="B2848" t="str">
        <f>"ФОНАРЬ"</f>
        <v>ФОНАРЬ</v>
      </c>
      <c r="C2848">
        <v>0</v>
      </c>
      <c r="D2848">
        <v>2475.3360000000002</v>
      </c>
    </row>
    <row r="2849" spans="1:4">
      <c r="A2849" t="str">
        <f>"26540-1CH0A"</f>
        <v>26540-1CH0A</v>
      </c>
      <c r="B2849" t="str">
        <f>"Фонарь пятой двери п"</f>
        <v>Фонарь пятой двери п</v>
      </c>
      <c r="C2849">
        <v>4</v>
      </c>
      <c r="D2849">
        <v>3336.6239999999998</v>
      </c>
    </row>
    <row r="2850" spans="1:4">
      <c r="A2850" t="str">
        <f>"26540-CC00A"</f>
        <v>26540-CC00A</v>
      </c>
      <c r="B2850" t="str">
        <f>"Фонарь пятой двери п"</f>
        <v>Фонарь пятой двери п</v>
      </c>
      <c r="C2850">
        <v>2</v>
      </c>
      <c r="D2850">
        <v>2130.9839999999999</v>
      </c>
    </row>
    <row r="2851" spans="1:4">
      <c r="A2851" t="str">
        <f>"26540-CL00A"</f>
        <v>26540-CL00A</v>
      </c>
      <c r="B2851" t="str">
        <f>"Фонарь пятой двери п"</f>
        <v>Фонарь пятой двери п</v>
      </c>
      <c r="C2851">
        <v>5</v>
      </c>
      <c r="D2851">
        <v>1857.6239999999998</v>
      </c>
    </row>
    <row r="2852" spans="1:4">
      <c r="A2852" t="str">
        <f>"26540-JG00A"</f>
        <v>26540-JG00A</v>
      </c>
      <c r="B2852" t="str">
        <f>"Фонарь пятой двери п"</f>
        <v>Фонарь пятой двери п</v>
      </c>
      <c r="C2852">
        <v>30</v>
      </c>
      <c r="D2852">
        <v>1335.7920000000001</v>
      </c>
    </row>
    <row r="2853" spans="1:4">
      <c r="A2853" t="str">
        <f>"26545-1AA1A"</f>
        <v>26545-1AA1A</v>
      </c>
      <c r="B2853" t="str">
        <f>"Фонарь пятой двери л"</f>
        <v>Фонарь пятой двери л</v>
      </c>
      <c r="C2853">
        <v>1</v>
      </c>
      <c r="D2853">
        <v>1644.24</v>
      </c>
    </row>
    <row r="2854" spans="1:4">
      <c r="A2854" t="str">
        <f>"26545-1CH0A"</f>
        <v>26545-1CH0A</v>
      </c>
      <c r="B2854" t="str">
        <f>"Фонарь пятой двери л"</f>
        <v>Фонарь пятой двери л</v>
      </c>
      <c r="C2854">
        <v>5</v>
      </c>
      <c r="D2854">
        <v>3786.24</v>
      </c>
    </row>
    <row r="2855" spans="1:4">
      <c r="A2855" t="str">
        <f>"26545-CL00A"</f>
        <v>26545-CL00A</v>
      </c>
      <c r="B2855" t="str">
        <f>"Фонарь заднего бампе"</f>
        <v>Фонарь заднего бампе</v>
      </c>
      <c r="C2855">
        <v>0</v>
      </c>
      <c r="D2855">
        <v>1876.8</v>
      </c>
    </row>
    <row r="2856" spans="1:4">
      <c r="A2856" t="str">
        <f>"26550-1AM0A"</f>
        <v>26550-1AM0A</v>
      </c>
      <c r="B2856" t="str">
        <f>"Фонарь задний"</f>
        <v>Фонарь задний</v>
      </c>
      <c r="C2856">
        <v>2</v>
      </c>
      <c r="D2856">
        <v>5494.9439999999995</v>
      </c>
    </row>
    <row r="2857" spans="1:4">
      <c r="A2857" t="str">
        <f>"26550-1AM0B"</f>
        <v>26550-1AM0B</v>
      </c>
      <c r="B2857" t="str">
        <f>"Фонарь задний"</f>
        <v>Фонарь задний</v>
      </c>
      <c r="C2857">
        <v>2</v>
      </c>
      <c r="D2857">
        <v>5494.9439999999995</v>
      </c>
    </row>
    <row r="2858" spans="1:4">
      <c r="A2858" t="str">
        <f>"26550-1BA1A"</f>
        <v>26550-1BA1A</v>
      </c>
      <c r="B2858" t="str">
        <f>"Фонарь задний"</f>
        <v>Фонарь задний</v>
      </c>
      <c r="C2858">
        <v>2</v>
      </c>
      <c r="D2858">
        <v>1707.0719999999999</v>
      </c>
    </row>
    <row r="2859" spans="1:4">
      <c r="A2859" t="str">
        <f>"26550-1BA1C"</f>
        <v>26550-1BA1C</v>
      </c>
      <c r="B2859" t="str">
        <f>"LAMP COMB RR,RH"</f>
        <v>LAMP COMB RR,RH</v>
      </c>
      <c r="C2859">
        <v>0</v>
      </c>
      <c r="D2859">
        <v>1707.0719999999999</v>
      </c>
    </row>
    <row r="2860" spans="1:4">
      <c r="A2860" t="str">
        <f>"26550-1BB0C"</f>
        <v>26550-1BB0C</v>
      </c>
      <c r="B2860" t="str">
        <f>"Фонарь задний"</f>
        <v>Фонарь задний</v>
      </c>
      <c r="C2860">
        <v>1</v>
      </c>
      <c r="D2860">
        <v>5262.3839999999991</v>
      </c>
    </row>
    <row r="2861" spans="1:4">
      <c r="A2861" t="str">
        <f>"26550-1CH0A"</f>
        <v>26550-1CH0A</v>
      </c>
      <c r="B2861" t="str">
        <f>"Фонарь задний"</f>
        <v>Фонарь задний</v>
      </c>
      <c r="C2861">
        <v>3</v>
      </c>
      <c r="D2861">
        <v>6756.0720000000001</v>
      </c>
    </row>
    <row r="2862" spans="1:4">
      <c r="A2862" t="str">
        <f>"26550-1KA0A"</f>
        <v>26550-1KA0A</v>
      </c>
      <c r="B2862" t="str">
        <f>"Фонарь задний"</f>
        <v>Фонарь задний</v>
      </c>
      <c r="C2862">
        <v>2</v>
      </c>
      <c r="D2862">
        <v>3716.4719999999998</v>
      </c>
    </row>
    <row r="2863" spans="1:4">
      <c r="A2863" t="str">
        <f>"26550-1LB1A"</f>
        <v>26550-1LB1A</v>
      </c>
      <c r="B2863" t="str">
        <f>"Фонарь задний"</f>
        <v>Фонарь задний</v>
      </c>
      <c r="C2863">
        <v>1</v>
      </c>
      <c r="D2863">
        <v>3222.384</v>
      </c>
    </row>
    <row r="2864" spans="1:4">
      <c r="A2864" t="str">
        <f>"26550-2N286"</f>
        <v>26550-2N286</v>
      </c>
      <c r="B2864" t="str">
        <f>"LAMP ASSY-REAR"</f>
        <v>LAMP ASSY-REAR</v>
      </c>
      <c r="C2864">
        <v>0</v>
      </c>
      <c r="D2864">
        <v>2643.0239999999999</v>
      </c>
    </row>
    <row r="2865" spans="1:4">
      <c r="A2865" t="str">
        <f>"26550-2N288"</f>
        <v>26550-2N288</v>
      </c>
      <c r="B2865" t="str">
        <f>"LAMP ASSY-REAR"</f>
        <v>LAMP ASSY-REAR</v>
      </c>
      <c r="C2865">
        <v>2</v>
      </c>
      <c r="D2865">
        <v>2719.3199999999997</v>
      </c>
    </row>
    <row r="2866" spans="1:4">
      <c r="A2866" t="str">
        <f>"26550-3UB0A"</f>
        <v>26550-3UB0A</v>
      </c>
      <c r="B2866" t="str">
        <f>"LAMP ASSY-REAR"</f>
        <v>LAMP ASSY-REAR</v>
      </c>
      <c r="C2866">
        <v>6</v>
      </c>
      <c r="D2866">
        <v>4104.8879999999999</v>
      </c>
    </row>
    <row r="2867" spans="1:4">
      <c r="A2867" t="str">
        <f>"26550-5M52A"</f>
        <v>26550-5M52A</v>
      </c>
      <c r="B2867" t="str">
        <f>"Фонарь задний"</f>
        <v>Фонарь задний</v>
      </c>
      <c r="C2867">
        <v>8</v>
      </c>
      <c r="D2867">
        <v>2663.0159999999996</v>
      </c>
    </row>
    <row r="2868" spans="1:4">
      <c r="A2868" t="str">
        <f>"26550-5M52B"</f>
        <v>26550-5M52B</v>
      </c>
      <c r="B2868" t="str">
        <f>"Фонарь задний"</f>
        <v>Фонарь задний</v>
      </c>
      <c r="C2868">
        <v>5</v>
      </c>
      <c r="D2868">
        <v>2450.4479999999999</v>
      </c>
    </row>
    <row r="2869" spans="1:4">
      <c r="A2869" t="str">
        <f>"26550-7F000"</f>
        <v>26550-7F000</v>
      </c>
      <c r="B2869" t="str">
        <f>"LAMP-A RR COMBI"</f>
        <v>LAMP-A RR COMBI</v>
      </c>
      <c r="C2869">
        <v>1</v>
      </c>
      <c r="D2869">
        <v>3824.5919999999996</v>
      </c>
    </row>
    <row r="2870" spans="1:4">
      <c r="A2870" t="str">
        <f>"26550-7S625"</f>
        <v>26550-7S625</v>
      </c>
      <c r="B2870" t="str">
        <f>"LAMP ASSY-RR CO"</f>
        <v>LAMP ASSY-RR CO</v>
      </c>
      <c r="C2870">
        <v>0</v>
      </c>
      <c r="D2870">
        <v>6979.2479999999996</v>
      </c>
    </row>
    <row r="2871" spans="1:4">
      <c r="A2871" t="str">
        <f>"26550-81N00"</f>
        <v>26550-81N00</v>
      </c>
      <c r="B2871" t="str">
        <f>"LAMP ASSY-REAR"</f>
        <v>LAMP ASSY-REAR</v>
      </c>
      <c r="C2871">
        <v>2</v>
      </c>
      <c r="D2871">
        <v>3040.0080000000003</v>
      </c>
    </row>
    <row r="2872" spans="1:4">
      <c r="A2872" t="str">
        <f>"26550-8H301"</f>
        <v>26550-8H301</v>
      </c>
      <c r="B2872" t="str">
        <f t="shared" ref="B2872:B2881" si="47">"Фонарь задний"</f>
        <v>Фонарь задний</v>
      </c>
      <c r="C2872">
        <v>1</v>
      </c>
      <c r="D2872">
        <v>4119.576</v>
      </c>
    </row>
    <row r="2873" spans="1:4">
      <c r="A2873" t="str">
        <f>"26550-95F0B"</f>
        <v>26550-95F0B</v>
      </c>
      <c r="B2873" t="str">
        <f t="shared" si="47"/>
        <v>Фонарь задний</v>
      </c>
      <c r="C2873">
        <v>5</v>
      </c>
      <c r="D2873">
        <v>3109.7759999999998</v>
      </c>
    </row>
    <row r="2874" spans="1:4">
      <c r="A2874" t="str">
        <f>"26550-9W50C"</f>
        <v>26550-9W50C</v>
      </c>
      <c r="B2874" t="str">
        <f t="shared" si="47"/>
        <v>Фонарь задний</v>
      </c>
      <c r="C2874">
        <v>5</v>
      </c>
      <c r="D2874">
        <v>4868.6639999999998</v>
      </c>
    </row>
    <row r="2875" spans="1:4">
      <c r="A2875" t="str">
        <f>"26550-AU21B"</f>
        <v>26550-AU21B</v>
      </c>
      <c r="B2875" t="str">
        <f t="shared" si="47"/>
        <v>Фонарь задний</v>
      </c>
      <c r="C2875">
        <v>1</v>
      </c>
      <c r="D2875">
        <v>5267.28</v>
      </c>
    </row>
    <row r="2876" spans="1:4">
      <c r="A2876" t="str">
        <f>"26550-AU30A"</f>
        <v>26550-AU30A</v>
      </c>
      <c r="B2876" t="str">
        <f t="shared" si="47"/>
        <v>Фонарь задний</v>
      </c>
      <c r="C2876">
        <v>1</v>
      </c>
      <c r="D2876">
        <v>5267.28</v>
      </c>
    </row>
    <row r="2877" spans="1:4">
      <c r="A2877" t="str">
        <f>"26550-AU40A"</f>
        <v>26550-AU40A</v>
      </c>
      <c r="B2877" t="str">
        <f t="shared" si="47"/>
        <v>Фонарь задний</v>
      </c>
      <c r="C2877">
        <v>1</v>
      </c>
      <c r="D2877">
        <v>5267.28</v>
      </c>
    </row>
    <row r="2878" spans="1:4">
      <c r="A2878" t="str">
        <f>"26550-BN011"</f>
        <v>26550-BN011</v>
      </c>
      <c r="B2878" t="str">
        <f t="shared" si="47"/>
        <v>Фонарь задний</v>
      </c>
      <c r="C2878">
        <v>1</v>
      </c>
      <c r="D2878">
        <v>4338.2639999999992</v>
      </c>
    </row>
    <row r="2879" spans="1:4">
      <c r="A2879" t="str">
        <f>"26550-BN702"</f>
        <v>26550-BN702</v>
      </c>
      <c r="B2879" t="str">
        <f t="shared" si="47"/>
        <v>Фонарь задний</v>
      </c>
      <c r="C2879">
        <v>0</v>
      </c>
      <c r="D2879">
        <v>4338.2639999999992</v>
      </c>
    </row>
    <row r="2880" spans="1:4">
      <c r="A2880" t="str">
        <f>"26550-BR00A"</f>
        <v>26550-BR00A</v>
      </c>
      <c r="B2880" t="str">
        <f t="shared" si="47"/>
        <v>Фонарь задний</v>
      </c>
      <c r="C2880">
        <v>0</v>
      </c>
      <c r="D2880">
        <v>2678.52</v>
      </c>
    </row>
    <row r="2881" spans="1:4">
      <c r="A2881" t="str">
        <f>"26550-BR01A"</f>
        <v>26550-BR01A</v>
      </c>
      <c r="B2881" t="str">
        <f t="shared" si="47"/>
        <v>Фонарь задний</v>
      </c>
      <c r="C2881">
        <v>0</v>
      </c>
      <c r="D2881">
        <v>2330.904</v>
      </c>
    </row>
    <row r="2882" spans="1:4">
      <c r="A2882" t="str">
        <f>"26550-CA025"</f>
        <v>26550-CA025</v>
      </c>
      <c r="B2882" t="str">
        <f>"LAMP COMB RR,RH"</f>
        <v>LAMP COMB RR,RH</v>
      </c>
      <c r="C2882">
        <v>5</v>
      </c>
      <c r="D2882">
        <v>4538.1840000000002</v>
      </c>
    </row>
    <row r="2883" spans="1:4">
      <c r="A2883" t="str">
        <f>"26550-CB00A"</f>
        <v>26550-CB00A</v>
      </c>
      <c r="B2883" t="str">
        <f t="shared" ref="B2883:B2896" si="48">"Фонарь задний"</f>
        <v>Фонарь задний</v>
      </c>
      <c r="C2883">
        <v>2</v>
      </c>
      <c r="D2883">
        <v>4441.8959999999997</v>
      </c>
    </row>
    <row r="2884" spans="1:4">
      <c r="A2884" t="str">
        <f>"26550-CG03A"</f>
        <v>26550-CG03A</v>
      </c>
      <c r="B2884" t="str">
        <f t="shared" si="48"/>
        <v>Фонарь задний</v>
      </c>
      <c r="C2884">
        <v>3</v>
      </c>
      <c r="D2884">
        <v>8683.8719999999994</v>
      </c>
    </row>
    <row r="2885" spans="1:4">
      <c r="A2885" t="str">
        <f>"26550-CL60D"</f>
        <v>26550-CL60D</v>
      </c>
      <c r="B2885" t="str">
        <f t="shared" si="48"/>
        <v>Фонарь задний</v>
      </c>
      <c r="C2885">
        <v>4</v>
      </c>
      <c r="D2885">
        <v>8647.152</v>
      </c>
    </row>
    <row r="2886" spans="1:4">
      <c r="A2886" t="str">
        <f>"26550-CL61D"</f>
        <v>26550-CL61D</v>
      </c>
      <c r="B2886" t="str">
        <f t="shared" si="48"/>
        <v>Фонарь задний</v>
      </c>
      <c r="C2886">
        <v>14</v>
      </c>
      <c r="D2886">
        <v>8837.6880000000001</v>
      </c>
    </row>
    <row r="2887" spans="1:4">
      <c r="A2887" t="str">
        <f>"26550-EB30C"</f>
        <v>26550-EB30C</v>
      </c>
      <c r="B2887" t="str">
        <f t="shared" si="48"/>
        <v>Фонарь задний</v>
      </c>
      <c r="C2887">
        <v>2</v>
      </c>
      <c r="D2887">
        <v>6274.2240000000002</v>
      </c>
    </row>
    <row r="2888" spans="1:4">
      <c r="A2888" t="str">
        <f>"26550-EB38A"</f>
        <v>26550-EB38A</v>
      </c>
      <c r="B2888" t="str">
        <f t="shared" si="48"/>
        <v>Фонарь задний</v>
      </c>
      <c r="C2888">
        <v>2</v>
      </c>
      <c r="D2888">
        <v>6274.2240000000002</v>
      </c>
    </row>
    <row r="2889" spans="1:4">
      <c r="A2889" t="str">
        <f>"26550-EG61A"</f>
        <v>26550-EG61A</v>
      </c>
      <c r="B2889" t="str">
        <f t="shared" si="48"/>
        <v>Фонарь задний</v>
      </c>
      <c r="C2889">
        <v>2</v>
      </c>
      <c r="D2889">
        <v>10080.048000000001</v>
      </c>
    </row>
    <row r="2890" spans="1:4">
      <c r="A2890" t="str">
        <f>"26550-EJ90A"</f>
        <v>26550-EJ90A</v>
      </c>
      <c r="B2890" t="str">
        <f t="shared" si="48"/>
        <v>Фонарь задний</v>
      </c>
      <c r="C2890">
        <v>6</v>
      </c>
      <c r="D2890">
        <v>9355.4399999999987</v>
      </c>
    </row>
    <row r="2891" spans="1:4">
      <c r="A2891" t="str">
        <f>"26550-EL00A"</f>
        <v>26550-EL00A</v>
      </c>
      <c r="B2891" t="str">
        <f t="shared" si="48"/>
        <v>Фонарь задний</v>
      </c>
      <c r="C2891">
        <v>2</v>
      </c>
      <c r="D2891">
        <v>3496.152</v>
      </c>
    </row>
    <row r="2892" spans="1:4">
      <c r="A2892" t="str">
        <f>"26550-EM00A"</f>
        <v>26550-EM00A</v>
      </c>
      <c r="B2892" t="str">
        <f t="shared" si="48"/>
        <v>Фонарь задний</v>
      </c>
      <c r="C2892">
        <v>0</v>
      </c>
      <c r="D2892">
        <v>3507.576</v>
      </c>
    </row>
    <row r="2893" spans="1:4">
      <c r="A2893" t="str">
        <f>"26550-EQ00B"</f>
        <v>26550-EQ00B</v>
      </c>
      <c r="B2893" t="str">
        <f t="shared" si="48"/>
        <v>Фонарь задний</v>
      </c>
      <c r="C2893">
        <v>0</v>
      </c>
      <c r="D2893">
        <v>4134.2639999999992</v>
      </c>
    </row>
    <row r="2894" spans="1:4">
      <c r="A2894" t="str">
        <f>"26550-EY00A"</f>
        <v>26550-EY00A</v>
      </c>
      <c r="B2894" t="str">
        <f t="shared" si="48"/>
        <v>Фонарь задний</v>
      </c>
      <c r="C2894">
        <v>0</v>
      </c>
      <c r="D2894">
        <v>2634.4560000000001</v>
      </c>
    </row>
    <row r="2895" spans="1:4">
      <c r="A2895" t="str">
        <f>"26550-JE20B"</f>
        <v>26550-JE20B</v>
      </c>
      <c r="B2895" t="str">
        <f t="shared" si="48"/>
        <v>Фонарь задний</v>
      </c>
      <c r="C2895">
        <v>2</v>
      </c>
      <c r="D2895">
        <v>2109.3599999999997</v>
      </c>
    </row>
    <row r="2896" spans="1:4">
      <c r="A2896" t="str">
        <f>"26550-JG00B"</f>
        <v>26550-JG00B</v>
      </c>
      <c r="B2896" t="str">
        <f t="shared" si="48"/>
        <v>Фонарь задний</v>
      </c>
      <c r="C2896">
        <v>16</v>
      </c>
      <c r="D2896">
        <v>4272.9840000000004</v>
      </c>
    </row>
    <row r="2897" spans="1:4">
      <c r="A2897" t="str">
        <f>"26550-JK00D"</f>
        <v>26550-JK00D</v>
      </c>
      <c r="B2897" t="str">
        <f>"LAMP COMB RR.RH"</f>
        <v>LAMP COMB RR.RH</v>
      </c>
      <c r="C2897">
        <v>0</v>
      </c>
      <c r="D2897">
        <v>8881.7520000000004</v>
      </c>
    </row>
    <row r="2898" spans="1:4">
      <c r="A2898" t="str">
        <f>"26550-JN00A"</f>
        <v>26550-JN00A</v>
      </c>
      <c r="B2898" t="str">
        <f t="shared" ref="B2898:B2906" si="49">"Фонарь задний"</f>
        <v>Фонарь задний</v>
      </c>
      <c r="C2898">
        <v>14</v>
      </c>
      <c r="D2898">
        <v>6638.16</v>
      </c>
    </row>
    <row r="2899" spans="1:4">
      <c r="A2899" t="str">
        <f>"26550-JN20A"</f>
        <v>26550-JN20A</v>
      </c>
      <c r="B2899" t="str">
        <f t="shared" si="49"/>
        <v>Фонарь задний</v>
      </c>
      <c r="C2899">
        <v>9</v>
      </c>
      <c r="D2899">
        <v>6305.6399999999994</v>
      </c>
    </row>
    <row r="2900" spans="1:4">
      <c r="A2900" t="str">
        <f>"26550-VB100"</f>
        <v>26550-VB100</v>
      </c>
      <c r="B2900" t="str">
        <f t="shared" si="49"/>
        <v>Фонарь задний</v>
      </c>
      <c r="C2900">
        <v>5</v>
      </c>
      <c r="D2900">
        <v>3117.5279999999998</v>
      </c>
    </row>
    <row r="2901" spans="1:4">
      <c r="A2901" t="str">
        <f>"26550-VB11B"</f>
        <v>26550-VB11B</v>
      </c>
      <c r="B2901" t="str">
        <f t="shared" si="49"/>
        <v>Фонарь задний</v>
      </c>
      <c r="C2901">
        <v>7</v>
      </c>
      <c r="D2901">
        <v>2537.7600000000002</v>
      </c>
    </row>
    <row r="2902" spans="1:4">
      <c r="A2902" t="str">
        <f>"26550-VC30A"</f>
        <v>26550-VC30A</v>
      </c>
      <c r="B2902" t="str">
        <f t="shared" si="49"/>
        <v>Фонарь задний</v>
      </c>
      <c r="C2902">
        <v>3</v>
      </c>
      <c r="D2902">
        <v>3105.6959999999999</v>
      </c>
    </row>
    <row r="2903" spans="1:4">
      <c r="A2903" t="str">
        <f>"26550-VD30A"</f>
        <v>26550-VD30A</v>
      </c>
      <c r="B2903" t="str">
        <f t="shared" si="49"/>
        <v>Фонарь задний</v>
      </c>
      <c r="C2903">
        <v>0</v>
      </c>
      <c r="D2903">
        <v>3564.2879999999996</v>
      </c>
    </row>
    <row r="2904" spans="1:4">
      <c r="A2904" t="str">
        <f>"26550-VD71B"</f>
        <v>26550-VD71B</v>
      </c>
      <c r="B2904" t="str">
        <f t="shared" si="49"/>
        <v>Фонарь задний</v>
      </c>
      <c r="C2904">
        <v>10</v>
      </c>
      <c r="D2904">
        <v>4021.2479999999996</v>
      </c>
    </row>
    <row r="2905" spans="1:4">
      <c r="A2905" t="str">
        <f>"26550-VD80B"</f>
        <v>26550-VD80B</v>
      </c>
      <c r="B2905" t="str">
        <f t="shared" si="49"/>
        <v>Фонарь задний</v>
      </c>
      <c r="C2905">
        <v>0</v>
      </c>
      <c r="D2905">
        <v>3819.6959999999999</v>
      </c>
    </row>
    <row r="2906" spans="1:4">
      <c r="A2906" t="str">
        <f>"26550-ZQ50A"</f>
        <v>26550-ZQ50A</v>
      </c>
      <c r="B2906" t="str">
        <f t="shared" si="49"/>
        <v>Фонарь задний</v>
      </c>
      <c r="C2906">
        <v>3</v>
      </c>
      <c r="D2906">
        <v>7676.1120000000001</v>
      </c>
    </row>
    <row r="2907" spans="1:4">
      <c r="A2907" t="str">
        <f>"26551-VD71A"</f>
        <v>26551-VD71A</v>
      </c>
      <c r="B2907" t="str">
        <f>"Жгут проводки"</f>
        <v>Жгут проводки</v>
      </c>
      <c r="C2907">
        <v>52</v>
      </c>
      <c r="D2907">
        <v>584.25599999999997</v>
      </c>
    </row>
    <row r="2908" spans="1:4">
      <c r="A2908" t="str">
        <f>"26552-1AA0A"</f>
        <v>26552-1AA0A</v>
      </c>
      <c r="B2908" t="str">
        <f>"Облицовка фонаря"</f>
        <v>Облицовка фонаря</v>
      </c>
      <c r="C2908">
        <v>1</v>
      </c>
      <c r="D2908">
        <v>469.60799999999995</v>
      </c>
    </row>
    <row r="2909" spans="1:4">
      <c r="A2909" t="str">
        <f>"26552-JN00A"</f>
        <v>26552-JN00A</v>
      </c>
      <c r="B2909" t="str">
        <f>"Облицовка заднего фо"</f>
        <v>Облицовка заднего фо</v>
      </c>
      <c r="C2909">
        <v>32</v>
      </c>
      <c r="D2909">
        <v>517.34399999999994</v>
      </c>
    </row>
    <row r="2910" spans="1:4">
      <c r="A2910" t="str">
        <f>"26553-9U00A"</f>
        <v>26553-9U00A</v>
      </c>
      <c r="B2910" t="str">
        <f>"Облицовка заднего фо"</f>
        <v>Облицовка заднего фо</v>
      </c>
      <c r="C2910">
        <v>6</v>
      </c>
      <c r="D2910">
        <v>763.36799999999994</v>
      </c>
    </row>
    <row r="2911" spans="1:4">
      <c r="A2911" t="str">
        <f>"26553-JN00A"</f>
        <v>26553-JN00A</v>
      </c>
      <c r="B2911" t="str">
        <f>"Облицовка заднего фо"</f>
        <v>Облицовка заднего фо</v>
      </c>
      <c r="C2911">
        <v>10</v>
      </c>
      <c r="D2911">
        <v>512.85599999999999</v>
      </c>
    </row>
    <row r="2912" spans="1:4">
      <c r="A2912" t="str">
        <f>"26554-32J0B"</f>
        <v>26554-32J0B</v>
      </c>
      <c r="B2912" t="str">
        <f>"Фонарь задний"</f>
        <v>Фонарь задний</v>
      </c>
      <c r="C2912">
        <v>1</v>
      </c>
      <c r="D2912">
        <v>2497.3679999999999</v>
      </c>
    </row>
    <row r="2913" spans="1:4">
      <c r="A2913" t="str">
        <f>"26554-9U00A"</f>
        <v>26554-9U00A</v>
      </c>
      <c r="B2913" t="str">
        <f>"Фонарь задний"</f>
        <v>Фонарь задний</v>
      </c>
      <c r="C2913">
        <v>3</v>
      </c>
      <c r="D2913">
        <v>3299.0879999999997</v>
      </c>
    </row>
    <row r="2914" spans="1:4">
      <c r="A2914" t="str">
        <f>"26554-VD71B"</f>
        <v>26554-VD71B</v>
      </c>
      <c r="B2914" t="str">
        <f>"Фонарь задний"</f>
        <v>Фонарь задний</v>
      </c>
      <c r="C2914">
        <v>7</v>
      </c>
      <c r="D2914">
        <v>2935.9679999999998</v>
      </c>
    </row>
    <row r="2915" spans="1:4">
      <c r="A2915" t="str">
        <f>"26555-0X001"</f>
        <v>26555-0X001</v>
      </c>
      <c r="B2915" t="str">
        <f>"LAMP ASSY-REAR"</f>
        <v>LAMP ASSY-REAR</v>
      </c>
      <c r="C2915">
        <v>1</v>
      </c>
      <c r="D2915">
        <v>3824.5919999999996</v>
      </c>
    </row>
    <row r="2916" spans="1:4">
      <c r="A2916" t="str">
        <f>"26555-1AM0B"</f>
        <v>26555-1AM0B</v>
      </c>
      <c r="B2916" t="str">
        <f>"Фонарь задний"</f>
        <v>Фонарь задний</v>
      </c>
      <c r="C2916">
        <v>0</v>
      </c>
      <c r="D2916">
        <v>4846.6319999999996</v>
      </c>
    </row>
    <row r="2917" spans="1:4">
      <c r="A2917" t="str">
        <f>"26555-1BA1C"</f>
        <v>26555-1BA1C</v>
      </c>
      <c r="B2917" t="str">
        <f>"LAMP COMB RR,LH"</f>
        <v>LAMP COMB RR,LH</v>
      </c>
      <c r="C2917">
        <v>0</v>
      </c>
      <c r="D2917">
        <v>2452.4879999999998</v>
      </c>
    </row>
    <row r="2918" spans="1:4">
      <c r="A2918" t="str">
        <f>"26555-1BB0C"</f>
        <v>26555-1BB0C</v>
      </c>
      <c r="B2918" t="str">
        <f>"Фонарь задний"</f>
        <v>Фонарь задний</v>
      </c>
      <c r="C2918">
        <v>1</v>
      </c>
      <c r="D2918">
        <v>4708.7280000000001</v>
      </c>
    </row>
    <row r="2919" spans="1:4">
      <c r="A2919" t="str">
        <f>"26555-1CH0A"</f>
        <v>26555-1CH0A</v>
      </c>
      <c r="B2919" t="str">
        <f>"Фонарь задний"</f>
        <v>Фонарь задний</v>
      </c>
      <c r="C2919">
        <v>3</v>
      </c>
      <c r="D2919">
        <v>6782.5919999999996</v>
      </c>
    </row>
    <row r="2920" spans="1:4">
      <c r="A2920" t="str">
        <f>"26555-1KA0A"</f>
        <v>26555-1KA0A</v>
      </c>
      <c r="B2920" t="str">
        <f>"Фонарь задний"</f>
        <v>Фонарь задний</v>
      </c>
      <c r="C2920">
        <v>2</v>
      </c>
      <c r="D2920">
        <v>3744.6239999999998</v>
      </c>
    </row>
    <row r="2921" spans="1:4">
      <c r="A2921" t="str">
        <f>"26555-1LB1A"</f>
        <v>26555-1LB1A</v>
      </c>
      <c r="B2921" t="str">
        <f>"Фонарь задний"</f>
        <v>Фонарь задний</v>
      </c>
      <c r="C2921">
        <v>0</v>
      </c>
      <c r="D2921">
        <v>3360.6959999999999</v>
      </c>
    </row>
    <row r="2922" spans="1:4">
      <c r="A2922" t="str">
        <f>"26555-2F026"</f>
        <v>26555-2F026</v>
      </c>
      <c r="B2922" t="str">
        <f>"LAMP ASSY-REAR"</f>
        <v>LAMP ASSY-REAR</v>
      </c>
      <c r="C2922">
        <v>1</v>
      </c>
      <c r="D2922">
        <v>3640.5840000000003</v>
      </c>
    </row>
    <row r="2923" spans="1:4">
      <c r="A2923" t="str">
        <f>"26555-2F725"</f>
        <v>26555-2F725</v>
      </c>
      <c r="B2923" t="str">
        <f>"LAMP ASSY-REAR"</f>
        <v>LAMP ASSY-REAR</v>
      </c>
      <c r="C2923">
        <v>1</v>
      </c>
      <c r="D2923">
        <v>3640.5840000000003</v>
      </c>
    </row>
    <row r="2924" spans="1:4">
      <c r="A2924" t="str">
        <f>"26555-2N286"</f>
        <v>26555-2N286</v>
      </c>
      <c r="B2924" t="str">
        <f>"LAMP ASSY-REAR"</f>
        <v>LAMP ASSY-REAR</v>
      </c>
      <c r="C2924">
        <v>2</v>
      </c>
      <c r="D2924">
        <v>2347.2239999999997</v>
      </c>
    </row>
    <row r="2925" spans="1:4">
      <c r="A2925" t="str">
        <f>"26555-2N288"</f>
        <v>26555-2N288</v>
      </c>
      <c r="B2925" t="str">
        <f>"LAMP RR COMBI"</f>
        <v>LAMP RR COMBI</v>
      </c>
      <c r="C2925">
        <v>5</v>
      </c>
      <c r="D2925">
        <v>2496.1439999999998</v>
      </c>
    </row>
    <row r="2926" spans="1:4">
      <c r="A2926" t="str">
        <f>"26555-2N386"</f>
        <v>26555-2N386</v>
      </c>
      <c r="B2926" t="str">
        <f>"LAMP RR COMBI"</f>
        <v>LAMP RR COMBI</v>
      </c>
      <c r="C2926">
        <v>0</v>
      </c>
      <c r="D2926">
        <v>2516.136</v>
      </c>
    </row>
    <row r="2927" spans="1:4">
      <c r="A2927" t="str">
        <f>"26555-3S20A"</f>
        <v>26555-3S20A</v>
      </c>
      <c r="B2927" t="str">
        <f>"Фонарь задний"</f>
        <v>Фонарь задний</v>
      </c>
      <c r="C2927">
        <v>0</v>
      </c>
      <c r="D2927">
        <v>2347.6319999999996</v>
      </c>
    </row>
    <row r="2928" spans="1:4">
      <c r="A2928" t="str">
        <f>"26555-3S20B"</f>
        <v>26555-3S20B</v>
      </c>
      <c r="B2928" t="str">
        <f>"Фонарь задний"</f>
        <v>Фонарь задний</v>
      </c>
      <c r="C2928">
        <v>0</v>
      </c>
      <c r="D2928">
        <v>2322.3359999999998</v>
      </c>
    </row>
    <row r="2929" spans="1:4">
      <c r="A2929" t="str">
        <f>"26555-3UB0A"</f>
        <v>26555-3UB0A</v>
      </c>
      <c r="B2929" t="str">
        <f>"LAMP ASSY-REAR"</f>
        <v>LAMP ASSY-REAR</v>
      </c>
      <c r="C2929">
        <v>5</v>
      </c>
      <c r="D2929">
        <v>4037.5679999999998</v>
      </c>
    </row>
    <row r="2930" spans="1:4">
      <c r="A2930" t="str">
        <f>"26555-3Y528"</f>
        <v>26555-3Y528</v>
      </c>
      <c r="B2930" t="str">
        <f>"LAMP COMB RR,LH"</f>
        <v>LAMP COMB RR,LH</v>
      </c>
      <c r="C2930">
        <v>2</v>
      </c>
      <c r="D2930">
        <v>3996.7679999999996</v>
      </c>
    </row>
    <row r="2931" spans="1:4">
      <c r="A2931" t="str">
        <f>"26555-5M51A"</f>
        <v>26555-5M51A</v>
      </c>
      <c r="B2931" t="str">
        <f>"Фонарь задний"</f>
        <v>Фонарь задний</v>
      </c>
      <c r="C2931">
        <v>10</v>
      </c>
      <c r="D2931">
        <v>2758.08</v>
      </c>
    </row>
    <row r="2932" spans="1:4">
      <c r="A2932" t="str">
        <f>"26555-5M52A"</f>
        <v>26555-5M52A</v>
      </c>
      <c r="B2932" t="str">
        <f>"Фонарь задний"</f>
        <v>Фонарь задний</v>
      </c>
      <c r="C2932">
        <v>14</v>
      </c>
      <c r="D2932">
        <v>2667.5039999999999</v>
      </c>
    </row>
    <row r="2933" spans="1:4">
      <c r="A2933" t="str">
        <f>"26555-7S625"</f>
        <v>26555-7S625</v>
      </c>
      <c r="B2933" t="str">
        <f>"LAMP ASSY-RR CO"</f>
        <v>LAMP ASSY-RR CO</v>
      </c>
      <c r="C2933">
        <v>0</v>
      </c>
      <c r="D2933">
        <v>7690.7999999999993</v>
      </c>
    </row>
    <row r="2934" spans="1:4">
      <c r="A2934" t="str">
        <f>"26555-8F885"</f>
        <v>26555-8F885</v>
      </c>
      <c r="B2934" t="str">
        <f>"LAMP ASSY-REAR"</f>
        <v>LAMP ASSY-REAR</v>
      </c>
      <c r="C2934">
        <v>0</v>
      </c>
      <c r="D2934">
        <v>3640.5840000000003</v>
      </c>
    </row>
    <row r="2935" spans="1:4">
      <c r="A2935" t="str">
        <f>"26555-8H301"</f>
        <v>26555-8H301</v>
      </c>
      <c r="B2935" t="str">
        <f>"Фонарь задний"</f>
        <v>Фонарь задний</v>
      </c>
      <c r="C2935">
        <v>3</v>
      </c>
      <c r="D2935">
        <v>3751.152</v>
      </c>
    </row>
    <row r="2936" spans="1:4">
      <c r="A2936" t="str">
        <f>"26555-95F0B"</f>
        <v>26555-95F0B</v>
      </c>
      <c r="B2936" t="str">
        <f>"Фонарь задний"</f>
        <v>Фонарь задний</v>
      </c>
      <c r="C2936">
        <v>24</v>
      </c>
      <c r="D2936">
        <v>3478.2</v>
      </c>
    </row>
    <row r="2937" spans="1:4">
      <c r="A2937" t="str">
        <f>"26555-9F528"</f>
        <v>26555-9F528</v>
      </c>
      <c r="B2937" t="str">
        <f>"LAMP ASSY-REAR"</f>
        <v>LAMP ASSY-REAR</v>
      </c>
      <c r="C2937">
        <v>1</v>
      </c>
      <c r="D2937">
        <v>3640.5840000000003</v>
      </c>
    </row>
    <row r="2938" spans="1:4">
      <c r="A2938" t="str">
        <f>"26555-9F628"</f>
        <v>26555-9F628</v>
      </c>
      <c r="B2938" t="str">
        <f>"LAMP ASSY-REAR"</f>
        <v>LAMP ASSY-REAR</v>
      </c>
      <c r="C2938">
        <v>1</v>
      </c>
      <c r="D2938">
        <v>3640.5840000000003</v>
      </c>
    </row>
    <row r="2939" spans="1:4">
      <c r="A2939" t="str">
        <f>"26555-9U000"</f>
        <v>26555-9U000</v>
      </c>
      <c r="B2939" t="str">
        <f t="shared" ref="B2939:B2946" si="50">"Фонарь задний"</f>
        <v>Фонарь задний</v>
      </c>
      <c r="C2939">
        <v>1</v>
      </c>
      <c r="D2939">
        <v>3880.08</v>
      </c>
    </row>
    <row r="2940" spans="1:4">
      <c r="A2940" t="str">
        <f>"26555-9W61C"</f>
        <v>26555-9W61C</v>
      </c>
      <c r="B2940" t="str">
        <f t="shared" si="50"/>
        <v>Фонарь задний</v>
      </c>
      <c r="C2940">
        <v>14</v>
      </c>
      <c r="D2940">
        <v>5052.2640000000001</v>
      </c>
    </row>
    <row r="2941" spans="1:4">
      <c r="A2941" t="str">
        <f>"26555-AU21B"</f>
        <v>26555-AU21B</v>
      </c>
      <c r="B2941" t="str">
        <f t="shared" si="50"/>
        <v>Фонарь задний</v>
      </c>
      <c r="C2941">
        <v>0</v>
      </c>
      <c r="D2941">
        <v>5267.28</v>
      </c>
    </row>
    <row r="2942" spans="1:4">
      <c r="A2942" t="str">
        <f>"26555-AU30A"</f>
        <v>26555-AU30A</v>
      </c>
      <c r="B2942" t="str">
        <f t="shared" si="50"/>
        <v>Фонарь задний</v>
      </c>
      <c r="C2942">
        <v>7</v>
      </c>
      <c r="D2942">
        <v>5267.28</v>
      </c>
    </row>
    <row r="2943" spans="1:4">
      <c r="A2943" t="str">
        <f>"26555-BN011"</f>
        <v>26555-BN011</v>
      </c>
      <c r="B2943" t="str">
        <f t="shared" si="50"/>
        <v>Фонарь задний</v>
      </c>
      <c r="C2943">
        <v>0</v>
      </c>
      <c r="D2943">
        <v>4338.2639999999992</v>
      </c>
    </row>
    <row r="2944" spans="1:4">
      <c r="A2944" t="str">
        <f>"26555-BN702"</f>
        <v>26555-BN702</v>
      </c>
      <c r="B2944" t="str">
        <f t="shared" si="50"/>
        <v>Фонарь задний</v>
      </c>
      <c r="C2944">
        <v>2</v>
      </c>
      <c r="D2944">
        <v>4338.2639999999992</v>
      </c>
    </row>
    <row r="2945" spans="1:4">
      <c r="A2945" t="str">
        <f>"26555-BR00A"</f>
        <v>26555-BR00A</v>
      </c>
      <c r="B2945" t="str">
        <f t="shared" si="50"/>
        <v>Фонарь задний</v>
      </c>
      <c r="C2945">
        <v>2</v>
      </c>
      <c r="D2945">
        <v>2678.52</v>
      </c>
    </row>
    <row r="2946" spans="1:4">
      <c r="A2946" t="str">
        <f>"26555-BR01A"</f>
        <v>26555-BR01A</v>
      </c>
      <c r="B2946" t="str">
        <f t="shared" si="50"/>
        <v>Фонарь задний</v>
      </c>
      <c r="C2946">
        <v>2</v>
      </c>
      <c r="D2946">
        <v>2297.04</v>
      </c>
    </row>
    <row r="2947" spans="1:4">
      <c r="A2947" t="str">
        <f>"26555-CA025"</f>
        <v>26555-CA025</v>
      </c>
      <c r="B2947" t="str">
        <f>"LAMP ASSY-REAR"</f>
        <v>LAMP ASSY-REAR</v>
      </c>
      <c r="C2947">
        <v>3</v>
      </c>
      <c r="D2947">
        <v>3399.8639999999996</v>
      </c>
    </row>
    <row r="2948" spans="1:4">
      <c r="A2948" t="str">
        <f>"26555-CB00A"</f>
        <v>26555-CB00A</v>
      </c>
      <c r="B2948" t="str">
        <f t="shared" ref="B2948:B2965" si="51">"Фонарь задний"</f>
        <v>Фонарь задний</v>
      </c>
      <c r="C2948">
        <v>4</v>
      </c>
      <c r="D2948">
        <v>4540.6319999999996</v>
      </c>
    </row>
    <row r="2949" spans="1:4">
      <c r="A2949" t="str">
        <f>"26555-CG03A"</f>
        <v>26555-CG03A</v>
      </c>
      <c r="B2949" t="str">
        <f t="shared" si="51"/>
        <v>Фонарь задний</v>
      </c>
      <c r="C2949">
        <v>2</v>
      </c>
      <c r="D2949">
        <v>8683.8719999999994</v>
      </c>
    </row>
    <row r="2950" spans="1:4">
      <c r="A2950" t="str">
        <f>"26555-CL03A"</f>
        <v>26555-CL03A</v>
      </c>
      <c r="B2950" t="str">
        <f t="shared" si="51"/>
        <v>Фонарь задний</v>
      </c>
      <c r="C2950">
        <v>1</v>
      </c>
      <c r="D2950">
        <v>8748.3359999999993</v>
      </c>
    </row>
    <row r="2951" spans="1:4">
      <c r="A2951" t="str">
        <f>"26555-CL60D"</f>
        <v>26555-CL60D</v>
      </c>
      <c r="B2951" t="str">
        <f t="shared" si="51"/>
        <v>Фонарь задний</v>
      </c>
      <c r="C2951">
        <v>2</v>
      </c>
      <c r="D2951">
        <v>9000.0720000000001</v>
      </c>
    </row>
    <row r="2952" spans="1:4">
      <c r="A2952" t="str">
        <f>"26555-CL61D"</f>
        <v>26555-CL61D</v>
      </c>
      <c r="B2952" t="str">
        <f t="shared" si="51"/>
        <v>Фонарь задний</v>
      </c>
      <c r="C2952">
        <v>17</v>
      </c>
      <c r="D2952">
        <v>8687.1359999999986</v>
      </c>
    </row>
    <row r="2953" spans="1:4">
      <c r="A2953" t="str">
        <f>"26555-EB30C"</f>
        <v>26555-EB30C</v>
      </c>
      <c r="B2953" t="str">
        <f t="shared" si="51"/>
        <v>Фонарь задний</v>
      </c>
      <c r="C2953">
        <v>3</v>
      </c>
      <c r="D2953">
        <v>6274.2240000000002</v>
      </c>
    </row>
    <row r="2954" spans="1:4">
      <c r="A2954" t="str">
        <f>"26555-EB38B"</f>
        <v>26555-EB38B</v>
      </c>
      <c r="B2954" t="str">
        <f t="shared" si="51"/>
        <v>Фонарь задний</v>
      </c>
      <c r="C2954">
        <v>1</v>
      </c>
      <c r="D2954">
        <v>6274.2240000000002</v>
      </c>
    </row>
    <row r="2955" spans="1:4">
      <c r="A2955" t="str">
        <f>"26555-EG61A"</f>
        <v>26555-EG61A</v>
      </c>
      <c r="B2955" t="str">
        <f t="shared" si="51"/>
        <v>Фонарь задний</v>
      </c>
      <c r="C2955">
        <v>3</v>
      </c>
      <c r="D2955">
        <v>9971.9279999999999</v>
      </c>
    </row>
    <row r="2956" spans="1:4">
      <c r="A2956" t="str">
        <f>"26555-EJ90A"</f>
        <v>26555-EJ90A</v>
      </c>
      <c r="B2956" t="str">
        <f t="shared" si="51"/>
        <v>Фонарь задний</v>
      </c>
      <c r="C2956">
        <v>0</v>
      </c>
      <c r="D2956">
        <v>8844.6239999999998</v>
      </c>
    </row>
    <row r="2957" spans="1:4">
      <c r="A2957" t="str">
        <f>"26555-EL00A"</f>
        <v>26555-EL00A</v>
      </c>
      <c r="B2957" t="str">
        <f t="shared" si="51"/>
        <v>Фонарь задний</v>
      </c>
      <c r="C2957">
        <v>0</v>
      </c>
      <c r="D2957">
        <v>4319.0879999999997</v>
      </c>
    </row>
    <row r="2958" spans="1:4">
      <c r="A2958" t="str">
        <f>"26555-EM01A"</f>
        <v>26555-EM01A</v>
      </c>
      <c r="B2958" t="str">
        <f t="shared" si="51"/>
        <v>Фонарь задний</v>
      </c>
      <c r="C2958">
        <v>2</v>
      </c>
      <c r="D2958">
        <v>5455.3680000000004</v>
      </c>
    </row>
    <row r="2959" spans="1:4">
      <c r="A2959" t="str">
        <f>"26555-EQ00B"</f>
        <v>26555-EQ00B</v>
      </c>
      <c r="B2959" t="str">
        <f t="shared" si="51"/>
        <v>Фонарь задний</v>
      </c>
      <c r="C2959">
        <v>3</v>
      </c>
      <c r="D2959">
        <v>4117.9439999999995</v>
      </c>
    </row>
    <row r="2960" spans="1:4">
      <c r="A2960" t="str">
        <f>"26555-EY00A"</f>
        <v>26555-EY00A</v>
      </c>
      <c r="B2960" t="str">
        <f t="shared" si="51"/>
        <v>Фонарь задний</v>
      </c>
      <c r="C2960">
        <v>2</v>
      </c>
      <c r="D2960">
        <v>2634.4560000000001</v>
      </c>
    </row>
    <row r="2961" spans="1:4">
      <c r="A2961" t="str">
        <f>"26555-JE20B"</f>
        <v>26555-JE20B</v>
      </c>
      <c r="B2961" t="str">
        <f t="shared" si="51"/>
        <v>Фонарь задний</v>
      </c>
      <c r="C2961">
        <v>3</v>
      </c>
      <c r="D2961">
        <v>2295.8159999999998</v>
      </c>
    </row>
    <row r="2962" spans="1:4">
      <c r="A2962" t="str">
        <f>"26555-JG00B"</f>
        <v>26555-JG00B</v>
      </c>
      <c r="B2962" t="str">
        <f t="shared" si="51"/>
        <v>Фонарь задний</v>
      </c>
      <c r="C2962">
        <v>0</v>
      </c>
      <c r="D2962">
        <v>4041.6479999999997</v>
      </c>
    </row>
    <row r="2963" spans="1:4">
      <c r="A2963" t="str">
        <f>"26555-JK00C"</f>
        <v>26555-JK00C</v>
      </c>
      <c r="B2963" t="str">
        <f t="shared" si="51"/>
        <v>Фонарь задний</v>
      </c>
      <c r="C2963">
        <v>3</v>
      </c>
      <c r="D2963">
        <v>8855.232</v>
      </c>
    </row>
    <row r="2964" spans="1:4">
      <c r="A2964" t="str">
        <f>"26555-JK00D"</f>
        <v>26555-JK00D</v>
      </c>
      <c r="B2964" t="str">
        <f t="shared" si="51"/>
        <v>Фонарь задний</v>
      </c>
      <c r="C2964">
        <v>0</v>
      </c>
      <c r="D2964">
        <v>8855.232</v>
      </c>
    </row>
    <row r="2965" spans="1:4">
      <c r="A2965" t="str">
        <f>"26555-JN00A"</f>
        <v>26555-JN00A</v>
      </c>
      <c r="B2965" t="str">
        <f t="shared" si="51"/>
        <v>Фонарь задний</v>
      </c>
      <c r="C2965">
        <v>10</v>
      </c>
      <c r="D2965">
        <v>6611.2319999999991</v>
      </c>
    </row>
    <row r="2966" spans="1:4">
      <c r="A2966" t="str">
        <f>"26555-JN20A"</f>
        <v>26555-JN20A</v>
      </c>
      <c r="B2966" t="str">
        <f>"Фонарь задний ле"</f>
        <v>Фонарь задний ле</v>
      </c>
      <c r="C2966">
        <v>7</v>
      </c>
      <c r="D2966">
        <v>6390.0959999999995</v>
      </c>
    </row>
    <row r="2967" spans="1:4">
      <c r="A2967" t="str">
        <f>"26555-VB11B"</f>
        <v>26555-VB11B</v>
      </c>
      <c r="B2967" t="str">
        <f t="shared" ref="B2967:B2973" si="52">"Фонарь задний"</f>
        <v>Фонарь задний</v>
      </c>
      <c r="C2967">
        <v>7</v>
      </c>
      <c r="D2967">
        <v>4024.9199999999996</v>
      </c>
    </row>
    <row r="2968" spans="1:4">
      <c r="A2968" t="str">
        <f>"26555-VB500"</f>
        <v>26555-VB500</v>
      </c>
      <c r="B2968" t="str">
        <f t="shared" si="52"/>
        <v>Фонарь задний</v>
      </c>
      <c r="C2968">
        <v>3</v>
      </c>
      <c r="D2968">
        <v>3127.7280000000001</v>
      </c>
    </row>
    <row r="2969" spans="1:4">
      <c r="A2969" t="str">
        <f>"26555-VC30A"</f>
        <v>26555-VC30A</v>
      </c>
      <c r="B2969" t="str">
        <f t="shared" si="52"/>
        <v>Фонарь задний</v>
      </c>
      <c r="C2969">
        <v>3</v>
      </c>
      <c r="D2969">
        <v>3180.36</v>
      </c>
    </row>
    <row r="2970" spans="1:4">
      <c r="A2970" t="str">
        <f>"26555-VD30A"</f>
        <v>26555-VD30A</v>
      </c>
      <c r="B2970" t="str">
        <f t="shared" si="52"/>
        <v>Фонарь задний</v>
      </c>
      <c r="C2970">
        <v>0</v>
      </c>
      <c r="D2970">
        <v>3804.6</v>
      </c>
    </row>
    <row r="2971" spans="1:4">
      <c r="A2971" t="str">
        <f>"26555-VD71B"</f>
        <v>26555-VD71B</v>
      </c>
      <c r="B2971" t="str">
        <f t="shared" si="52"/>
        <v>Фонарь задний</v>
      </c>
      <c r="C2971">
        <v>1</v>
      </c>
      <c r="D2971">
        <v>2568.36</v>
      </c>
    </row>
    <row r="2972" spans="1:4">
      <c r="A2972" t="str">
        <f>"26555-VD80B"</f>
        <v>26555-VD80B</v>
      </c>
      <c r="B2972" t="str">
        <f t="shared" si="52"/>
        <v>Фонарь задний</v>
      </c>
      <c r="C2972">
        <v>10</v>
      </c>
      <c r="D2972">
        <v>3776.0399999999995</v>
      </c>
    </row>
    <row r="2973" spans="1:4">
      <c r="A2973" t="str">
        <f>"26555-ZQ50A"</f>
        <v>26555-ZQ50A</v>
      </c>
      <c r="B2973" t="str">
        <f t="shared" si="52"/>
        <v>Фонарь задний</v>
      </c>
      <c r="C2973">
        <v>0</v>
      </c>
      <c r="D2973">
        <v>7249.3440000000001</v>
      </c>
    </row>
    <row r="2974" spans="1:4">
      <c r="A2974" t="str">
        <f>"26556-0F000"</f>
        <v>26556-0F000</v>
      </c>
      <c r="B2974" t="str">
        <f>"SOCKET ASSY-RR"</f>
        <v>SOCKET ASSY-RR</v>
      </c>
      <c r="C2974">
        <v>7</v>
      </c>
      <c r="D2974">
        <v>614.04</v>
      </c>
    </row>
    <row r="2975" spans="1:4">
      <c r="A2975" t="str">
        <f>"26556-7F000"</f>
        <v>26556-7F000</v>
      </c>
      <c r="B2975" t="str">
        <f>"SOCKET ASSY-REA"</f>
        <v>SOCKET ASSY-REA</v>
      </c>
      <c r="C2975">
        <v>2</v>
      </c>
      <c r="D2975">
        <v>815.18400000000008</v>
      </c>
    </row>
    <row r="2976" spans="1:4">
      <c r="A2976" t="str">
        <f>"26556-JD00A"</f>
        <v>26556-JD00A</v>
      </c>
      <c r="B2976" t="str">
        <f>"Крышка фонаря"</f>
        <v>Крышка фонаря</v>
      </c>
      <c r="C2976">
        <v>0</v>
      </c>
      <c r="D2976">
        <v>730.32</v>
      </c>
    </row>
    <row r="2977" spans="1:4">
      <c r="A2977" t="str">
        <f>"26556-VD305"</f>
        <v>26556-VD305</v>
      </c>
      <c r="B2977" t="str">
        <f>"HARNESS COMB RR"</f>
        <v>HARNESS COMB RR</v>
      </c>
      <c r="C2977">
        <v>32</v>
      </c>
      <c r="D2977">
        <v>590.37599999999998</v>
      </c>
    </row>
    <row r="2978" spans="1:4">
      <c r="A2978" t="str">
        <f>"26556-VD71A"</f>
        <v>26556-VD71A</v>
      </c>
      <c r="B2978" t="str">
        <f>"Жгут проводки"</f>
        <v>Жгут проводки</v>
      </c>
      <c r="C2978">
        <v>0</v>
      </c>
      <c r="D2978">
        <v>595.67999999999995</v>
      </c>
    </row>
    <row r="2979" spans="1:4">
      <c r="A2979" t="str">
        <f>"26557-1AA0A"</f>
        <v>26557-1AA0A</v>
      </c>
      <c r="B2979" t="str">
        <f>"Облицовка фонаря"</f>
        <v>Облицовка фонаря</v>
      </c>
      <c r="C2979">
        <v>1</v>
      </c>
      <c r="D2979">
        <v>457.36799999999999</v>
      </c>
    </row>
    <row r="2980" spans="1:4">
      <c r="A2980" t="str">
        <f>"26557-1CA1A"</f>
        <v>26557-1CA1A</v>
      </c>
      <c r="B2980" t="str">
        <f>"Облицовка фонаря"</f>
        <v>Облицовка фонаря</v>
      </c>
      <c r="C2980">
        <v>4</v>
      </c>
      <c r="D2980">
        <v>382.70400000000001</v>
      </c>
    </row>
    <row r="2981" spans="1:4">
      <c r="A2981" t="str">
        <f>"26557-2U000"</f>
        <v>26557-2U000</v>
      </c>
      <c r="B2981" t="str">
        <f>"GROMET"</f>
        <v>GROMET</v>
      </c>
      <c r="C2981">
        <v>24</v>
      </c>
      <c r="D2981">
        <v>54.263999999999996</v>
      </c>
    </row>
    <row r="2982" spans="1:4">
      <c r="A2982" t="str">
        <f>"26557-2U001"</f>
        <v>26557-2U001</v>
      </c>
      <c r="B2982" t="str">
        <f>"GROMMET"</f>
        <v>GROMMET</v>
      </c>
      <c r="C2982">
        <v>12</v>
      </c>
      <c r="D2982">
        <v>56.711999999999996</v>
      </c>
    </row>
    <row r="2983" spans="1:4">
      <c r="A2983" t="str">
        <f>"26558-9U00A"</f>
        <v>26558-9U00A</v>
      </c>
      <c r="B2983" t="str">
        <f>"Облицовка заднего фо"</f>
        <v>Облицовка заднего фо</v>
      </c>
      <c r="C2983">
        <v>0</v>
      </c>
      <c r="D2983">
        <v>784.17600000000004</v>
      </c>
    </row>
    <row r="2984" spans="1:4">
      <c r="A2984" t="str">
        <f>"26559-32J0B"</f>
        <v>26559-32J0B</v>
      </c>
      <c r="B2984" t="str">
        <f>"Фонарь задний"</f>
        <v>Фонарь задний</v>
      </c>
      <c r="C2984">
        <v>2</v>
      </c>
      <c r="D2984">
        <v>2511.2399999999998</v>
      </c>
    </row>
    <row r="2985" spans="1:4">
      <c r="A2985" t="str">
        <f>"26559-9U00A"</f>
        <v>26559-9U00A</v>
      </c>
      <c r="B2985" t="str">
        <f>"Фонарь задний"</f>
        <v>Фонарь задний</v>
      </c>
      <c r="C2985">
        <v>1</v>
      </c>
      <c r="D2985">
        <v>2575.7040000000002</v>
      </c>
    </row>
    <row r="2986" spans="1:4">
      <c r="A2986" t="str">
        <f>"26559-BR00A"</f>
        <v>26559-BR00A</v>
      </c>
      <c r="B2986" t="str">
        <f>"Фонарь задний"</f>
        <v>Фонарь задний</v>
      </c>
      <c r="C2986">
        <v>0</v>
      </c>
      <c r="D2986">
        <v>2411.6880000000001</v>
      </c>
    </row>
    <row r="2987" spans="1:4">
      <c r="A2987" t="str">
        <f>"26559-EL00A"</f>
        <v>26559-EL00A</v>
      </c>
      <c r="B2987" t="str">
        <f>"BODY ASSY-COMBI"</f>
        <v>BODY ASSY-COMBI</v>
      </c>
      <c r="C2987">
        <v>0</v>
      </c>
      <c r="D2987">
        <v>2829.48</v>
      </c>
    </row>
    <row r="2988" spans="1:4">
      <c r="A2988" t="str">
        <f>"26559-VD71B"</f>
        <v>26559-VD71B</v>
      </c>
      <c r="B2988" t="str">
        <f>"Фонарь задний"</f>
        <v>Фонарь задний</v>
      </c>
      <c r="C2988">
        <v>6</v>
      </c>
      <c r="D2988">
        <v>2565.096</v>
      </c>
    </row>
    <row r="2989" spans="1:4">
      <c r="A2989" t="str">
        <f>"26559-VD80B"</f>
        <v>26559-VD80B</v>
      </c>
      <c r="B2989" t="str">
        <f>"Фонарь задний"</f>
        <v>Фонарь задний</v>
      </c>
      <c r="C2989">
        <v>0</v>
      </c>
      <c r="D2989">
        <v>3543.8879999999995</v>
      </c>
    </row>
    <row r="2990" spans="1:4">
      <c r="A2990" t="str">
        <f>"26560-5C000"</f>
        <v>26560-5C000</v>
      </c>
      <c r="B2990" t="str">
        <f>"Катафот заднего бамп"</f>
        <v>Катафот заднего бамп</v>
      </c>
      <c r="C2990">
        <v>16</v>
      </c>
      <c r="D2990">
        <v>705.84</v>
      </c>
    </row>
    <row r="2991" spans="1:4">
      <c r="A2991" t="str">
        <f>"26560-8H300"</f>
        <v>26560-8H300</v>
      </c>
      <c r="B2991" t="str">
        <f>"ORNAMENT ASSY R"</f>
        <v>ORNAMENT ASSY R</v>
      </c>
      <c r="C2991">
        <v>6</v>
      </c>
      <c r="D2991">
        <v>641.37599999999998</v>
      </c>
    </row>
    <row r="2992" spans="1:4">
      <c r="A2992" t="str">
        <f>"26560-BR00A"</f>
        <v>26560-BR00A</v>
      </c>
      <c r="B2992" t="str">
        <f t="shared" ref="B2992:B3003" si="53">"Катафот заднего бамп"</f>
        <v>Катафот заднего бамп</v>
      </c>
      <c r="C2992">
        <v>32</v>
      </c>
      <c r="D2992">
        <v>707.06399999999996</v>
      </c>
    </row>
    <row r="2993" spans="1:4">
      <c r="A2993" t="str">
        <f>"26560-CG00A"</f>
        <v>26560-CG00A</v>
      </c>
      <c r="B2993" t="str">
        <f t="shared" si="53"/>
        <v>Катафот заднего бамп</v>
      </c>
      <c r="C2993">
        <v>2</v>
      </c>
      <c r="D2993">
        <v>687.4799999999999</v>
      </c>
    </row>
    <row r="2994" spans="1:4">
      <c r="A2994" t="str">
        <f>"26560-EQ00A"</f>
        <v>26560-EQ00A</v>
      </c>
      <c r="B2994" t="str">
        <f t="shared" si="53"/>
        <v>Катафот заднего бамп</v>
      </c>
      <c r="C2994">
        <v>30</v>
      </c>
      <c r="D2994">
        <v>341.08800000000002</v>
      </c>
    </row>
    <row r="2995" spans="1:4">
      <c r="A2995" t="str">
        <f>"26560-EW00A"</f>
        <v>26560-EW00A</v>
      </c>
      <c r="B2995" t="str">
        <f t="shared" si="53"/>
        <v>Катафот заднего бамп</v>
      </c>
      <c r="C2995">
        <v>22</v>
      </c>
      <c r="D2995">
        <v>717.26400000000001</v>
      </c>
    </row>
    <row r="2996" spans="1:4">
      <c r="A2996" t="str">
        <f>"26560-WA90A"</f>
        <v>26560-WA90A</v>
      </c>
      <c r="B2996" t="str">
        <f t="shared" si="53"/>
        <v>Катафот заднего бамп</v>
      </c>
      <c r="C2996">
        <v>7</v>
      </c>
      <c r="D2996">
        <v>646.67999999999995</v>
      </c>
    </row>
    <row r="2997" spans="1:4">
      <c r="A2997" t="str">
        <f>"26560-ZQ50A"</f>
        <v>26560-ZQ50A</v>
      </c>
      <c r="B2997" t="str">
        <f t="shared" si="53"/>
        <v>Катафот заднего бамп</v>
      </c>
      <c r="C2997">
        <v>3</v>
      </c>
      <c r="D2997">
        <v>625.87199999999996</v>
      </c>
    </row>
    <row r="2998" spans="1:4">
      <c r="A2998" t="str">
        <f>"26561-BR00A"</f>
        <v>26561-BR00A</v>
      </c>
      <c r="B2998" t="str">
        <f t="shared" si="53"/>
        <v>Катафот заднего бамп</v>
      </c>
      <c r="C2998">
        <v>0</v>
      </c>
      <c r="D2998">
        <v>715.63199999999995</v>
      </c>
    </row>
    <row r="2999" spans="1:4">
      <c r="A2999" t="str">
        <f>"26565-5C000"</f>
        <v>26565-5C000</v>
      </c>
      <c r="B2999" t="str">
        <f t="shared" si="53"/>
        <v>Катафот заднего бамп</v>
      </c>
      <c r="C2999">
        <v>22</v>
      </c>
      <c r="D2999">
        <v>720.12</v>
      </c>
    </row>
    <row r="3000" spans="1:4">
      <c r="A3000" t="str">
        <f>"26565-CG00A"</f>
        <v>26565-CG00A</v>
      </c>
      <c r="B3000" t="str">
        <f t="shared" si="53"/>
        <v>Катафот заднего бамп</v>
      </c>
      <c r="C3000">
        <v>14</v>
      </c>
      <c r="D3000">
        <v>690.74400000000003</v>
      </c>
    </row>
    <row r="3001" spans="1:4">
      <c r="A3001" t="str">
        <f>"26565-EW00A"</f>
        <v>26565-EW00A</v>
      </c>
      <c r="B3001" t="str">
        <f t="shared" si="53"/>
        <v>Катафот заднего бамп</v>
      </c>
      <c r="C3001">
        <v>12</v>
      </c>
      <c r="D3001">
        <v>705.84</v>
      </c>
    </row>
    <row r="3002" spans="1:4">
      <c r="A3002" t="str">
        <f>"26565-WA90A"</f>
        <v>26565-WA90A</v>
      </c>
      <c r="B3002" t="str">
        <f t="shared" si="53"/>
        <v>Катафот заднего бамп</v>
      </c>
      <c r="C3002">
        <v>12</v>
      </c>
      <c r="D3002">
        <v>632.4</v>
      </c>
    </row>
    <row r="3003" spans="1:4">
      <c r="A3003" t="str">
        <f>"26565-ZQ50A"</f>
        <v>26565-ZQ50A</v>
      </c>
      <c r="B3003" t="str">
        <f t="shared" si="53"/>
        <v>Катафот заднего бамп</v>
      </c>
      <c r="C3003">
        <v>3</v>
      </c>
      <c r="D3003">
        <v>640.55999999999995</v>
      </c>
    </row>
    <row r="3004" spans="1:4">
      <c r="A3004" t="str">
        <f>"26580-1AA0A"</f>
        <v>26580-1AA0A</v>
      </c>
      <c r="B3004" t="str">
        <f>"Фонарь противотуманн"</f>
        <v>Фонарь противотуманн</v>
      </c>
      <c r="C3004">
        <v>8</v>
      </c>
      <c r="D3004">
        <v>2663.0159999999996</v>
      </c>
    </row>
    <row r="3005" spans="1:4">
      <c r="A3005" t="str">
        <f>"26580-8H90A"</f>
        <v>26580-8H90A</v>
      </c>
      <c r="B3005" t="str">
        <f>"Фанарь противотуманн"</f>
        <v>Фанарь противотуманн</v>
      </c>
      <c r="C3005">
        <v>14</v>
      </c>
      <c r="D3005">
        <v>1587.9359999999999</v>
      </c>
    </row>
    <row r="3006" spans="1:4">
      <c r="A3006" t="str">
        <f>"26580-9U00A"</f>
        <v>26580-9U00A</v>
      </c>
      <c r="B3006" t="str">
        <f>"Фанарь противотуманн"</f>
        <v>Фанарь противотуманн</v>
      </c>
      <c r="C3006">
        <v>0</v>
      </c>
      <c r="D3006">
        <v>1839.6719999999998</v>
      </c>
    </row>
    <row r="3007" spans="1:4">
      <c r="A3007" t="str">
        <f>"26580-9U02B"</f>
        <v>26580-9U02B</v>
      </c>
      <c r="B3007" t="str">
        <f>"Фонарь противотуманн"</f>
        <v>Фонарь противотуманн</v>
      </c>
      <c r="C3007">
        <v>2</v>
      </c>
      <c r="D3007">
        <v>1833.5519999999999</v>
      </c>
    </row>
    <row r="3008" spans="1:4">
      <c r="A3008" t="str">
        <f>"26580-CM80B"</f>
        <v>26580-CM80B</v>
      </c>
      <c r="B3008" t="str">
        <f>"Фонарь противотумман"</f>
        <v>Фонарь противотумман</v>
      </c>
      <c r="C3008">
        <v>13</v>
      </c>
      <c r="D3008">
        <v>2740.1280000000002</v>
      </c>
    </row>
    <row r="3009" spans="1:4">
      <c r="A3009" t="str">
        <f>"26580-ED50A"</f>
        <v>26580-ED50A</v>
      </c>
      <c r="B3009" t="str">
        <f>"Фанарь противотуманн"</f>
        <v>Фанарь противотуманн</v>
      </c>
      <c r="C3009">
        <v>7</v>
      </c>
      <c r="D3009">
        <v>2534.0879999999997</v>
      </c>
    </row>
    <row r="3010" spans="1:4">
      <c r="A3010" t="str">
        <f>"26580-JD00B"</f>
        <v>26580-JD00B</v>
      </c>
      <c r="B3010" t="str">
        <f>"Фанарь противотуманн"</f>
        <v>Фанарь противотуманн</v>
      </c>
      <c r="C3010">
        <v>0</v>
      </c>
      <c r="D3010">
        <v>1989.816</v>
      </c>
    </row>
    <row r="3011" spans="1:4">
      <c r="A3011" t="str">
        <f>"26582-1BJ0D"</f>
        <v>26582-1BJ0D</v>
      </c>
      <c r="B3011" t="str">
        <f>"Облицовка фары проти"</f>
        <v>Облицовка фары проти</v>
      </c>
      <c r="C3011">
        <v>2</v>
      </c>
      <c r="D3011">
        <v>1318.6560000000002</v>
      </c>
    </row>
    <row r="3012" spans="1:4">
      <c r="A3012" t="str">
        <f>"26582-1CA0A"</f>
        <v>26582-1CA0A</v>
      </c>
      <c r="B3012" t="str">
        <f>"Облицовка противотум"</f>
        <v>Облицовка противотум</v>
      </c>
      <c r="C3012">
        <v>1</v>
      </c>
      <c r="D3012">
        <v>1328.4479999999999</v>
      </c>
    </row>
    <row r="3013" spans="1:4">
      <c r="A3013" t="str">
        <f>"26582-95F0A"</f>
        <v>26582-95F0A</v>
      </c>
      <c r="B3013" t="str">
        <f>"Облицовка противотум"</f>
        <v>Облицовка противотум</v>
      </c>
      <c r="C3013">
        <v>61</v>
      </c>
      <c r="D3013">
        <v>1219.92</v>
      </c>
    </row>
    <row r="3014" spans="1:4">
      <c r="A3014" t="str">
        <f>"26582-JN20D"</f>
        <v>26582-JN20D</v>
      </c>
      <c r="B3014" t="str">
        <f>"Облицовка противотум"</f>
        <v>Облицовка противотум</v>
      </c>
      <c r="C3014">
        <v>23</v>
      </c>
      <c r="D3014">
        <v>737.66399999999999</v>
      </c>
    </row>
    <row r="3015" spans="1:4">
      <c r="A3015" t="str">
        <f>"26582-JN22A"</f>
        <v>26582-JN22A</v>
      </c>
      <c r="B3015" t="str">
        <f>"Облицовка противотум"</f>
        <v>Облицовка противотум</v>
      </c>
      <c r="C3015">
        <v>2</v>
      </c>
      <c r="D3015">
        <v>722.16</v>
      </c>
    </row>
    <row r="3016" spans="1:4">
      <c r="A3016" t="str">
        <f>"26585-95F0A"</f>
        <v>26585-95F0A</v>
      </c>
      <c r="B3016" t="str">
        <f>"Фанарь противотуманн"</f>
        <v>Фанарь противотуманн</v>
      </c>
      <c r="C3016">
        <v>3</v>
      </c>
      <c r="D3016">
        <v>1710.7439999999999</v>
      </c>
    </row>
    <row r="3017" spans="1:4">
      <c r="A3017" t="str">
        <f>"26585-CC00A"</f>
        <v>26585-CC00A</v>
      </c>
      <c r="B3017" t="str">
        <f>"Фанарь противотуманн"</f>
        <v>Фанарь противотуманн</v>
      </c>
      <c r="C3017">
        <v>3</v>
      </c>
      <c r="D3017">
        <v>2672.4</v>
      </c>
    </row>
    <row r="3018" spans="1:4">
      <c r="A3018" t="str">
        <f>"26585-JG00A"</f>
        <v>26585-JG00A</v>
      </c>
      <c r="B3018" t="str">
        <f>"Фанарь противотуманн"</f>
        <v>Фанарь противотуманн</v>
      </c>
      <c r="C3018">
        <v>25</v>
      </c>
      <c r="D3018">
        <v>1725.84</v>
      </c>
    </row>
    <row r="3019" spans="1:4">
      <c r="A3019" t="str">
        <f>"26585-ZQ50A"</f>
        <v>26585-ZQ50A</v>
      </c>
      <c r="B3019" t="str">
        <f>"Фанарь противотуманн"</f>
        <v>Фанарь противотуманн</v>
      </c>
      <c r="C3019">
        <v>1</v>
      </c>
      <c r="D3019">
        <v>3571.2239999999997</v>
      </c>
    </row>
    <row r="3020" spans="1:4">
      <c r="A3020" t="str">
        <f>"26590-JD00A"</f>
        <v>26590-JD00A</v>
      </c>
      <c r="B3020" t="str">
        <f>"Фонарь стоп сигнала "</f>
        <v xml:space="preserve">Фонарь стоп сигнала </v>
      </c>
      <c r="C3020">
        <v>9</v>
      </c>
      <c r="D3020">
        <v>4257.4799999999996</v>
      </c>
    </row>
    <row r="3021" spans="1:4">
      <c r="A3021" t="str">
        <f>"26590-JG00F"</f>
        <v>26590-JG00F</v>
      </c>
      <c r="B3021" t="str">
        <f>"Фонарь стоп сигнала "</f>
        <v xml:space="preserve">Фонарь стоп сигнала </v>
      </c>
      <c r="C3021">
        <v>4</v>
      </c>
      <c r="D3021">
        <v>3805.0079999999998</v>
      </c>
    </row>
    <row r="3022" spans="1:4">
      <c r="A3022" t="str">
        <f>"26593-1U69B"</f>
        <v>26593-1U69B</v>
      </c>
      <c r="B3022" t="str">
        <f>"Уплотнитель фонаря с"</f>
        <v>Уплотнитель фонаря с</v>
      </c>
      <c r="C3022">
        <v>5</v>
      </c>
      <c r="D3022">
        <v>109.752</v>
      </c>
    </row>
    <row r="3023" spans="1:4">
      <c r="A3023" t="str">
        <f>"26598-8H700"</f>
        <v>26598-8H700</v>
      </c>
      <c r="B3023" t="str">
        <f>"RIM-STOP LAMP"</f>
        <v>RIM-STOP LAMP</v>
      </c>
      <c r="C3023">
        <v>6</v>
      </c>
      <c r="D3023">
        <v>786.21599999999989</v>
      </c>
    </row>
    <row r="3024" spans="1:4">
      <c r="A3024" t="str">
        <f>"26612-JG00A"</f>
        <v>26612-JG00A</v>
      </c>
      <c r="B3024" t="str">
        <f>"Облицовка фонаря кры"</f>
        <v>Облицовка фонаря кры</v>
      </c>
      <c r="C3024">
        <v>6</v>
      </c>
      <c r="D3024">
        <v>183.19199999999998</v>
      </c>
    </row>
    <row r="3025" spans="1:4">
      <c r="A3025" t="str">
        <f>"26612-JG01A"</f>
        <v>26612-JG01A</v>
      </c>
      <c r="B3025" t="str">
        <f>"Облицовка фонаря"</f>
        <v>Облицовка фонаря</v>
      </c>
      <c r="C3025">
        <v>0</v>
      </c>
      <c r="D3025">
        <v>960.02399999999989</v>
      </c>
    </row>
    <row r="3026" spans="1:4">
      <c r="A3026" t="str">
        <f>"26617-EQ000"</f>
        <v>26617-EQ000</v>
      </c>
      <c r="B3026" t="str">
        <f>"RIM-DRIVING LAM"</f>
        <v>RIM-DRIVING LAM</v>
      </c>
      <c r="C3026">
        <v>12</v>
      </c>
      <c r="D3026">
        <v>425.95199999999994</v>
      </c>
    </row>
    <row r="3027" spans="1:4">
      <c r="A3027" t="str">
        <f>"26617-JG00A"</f>
        <v>26617-JG00A</v>
      </c>
      <c r="B3027" t="str">
        <f>"Облицовка фонаря кры"</f>
        <v>Облицовка фонаря кры</v>
      </c>
      <c r="C3027">
        <v>16</v>
      </c>
      <c r="D3027">
        <v>123.21600000000001</v>
      </c>
    </row>
    <row r="3028" spans="1:4">
      <c r="A3028" t="str">
        <f>"26617-JG01A"</f>
        <v>26617-JG01A</v>
      </c>
      <c r="B3028" t="str">
        <f>"ОБЛИЦОВКА"</f>
        <v>ОБЛИЦОВКА</v>
      </c>
      <c r="C3028">
        <v>0</v>
      </c>
      <c r="D3028">
        <v>960.02399999999989</v>
      </c>
    </row>
    <row r="3029" spans="1:4">
      <c r="A3029" t="str">
        <f>"26705-C9901"</f>
        <v>26705-C9901</v>
      </c>
      <c r="B3029" t="str">
        <f>"UNIT ASSY-SEALE"</f>
        <v>UNIT ASSY-SEALE</v>
      </c>
      <c r="C3029">
        <v>6</v>
      </c>
      <c r="D3029">
        <v>2493.2879999999996</v>
      </c>
    </row>
    <row r="3030" spans="1:4">
      <c r="A3030" t="str">
        <f>"26855-0X000"</f>
        <v>26855-0X000</v>
      </c>
      <c r="B3030" t="str">
        <f>"LAMP ASSY-STOP"</f>
        <v>LAMP ASSY-STOP</v>
      </c>
      <c r="C3030">
        <v>0</v>
      </c>
      <c r="D3030">
        <v>2164.44</v>
      </c>
    </row>
    <row r="3031" spans="1:4">
      <c r="A3031" t="str">
        <f>"26910-1KA0A"</f>
        <v>26910-1KA0A</v>
      </c>
      <c r="B3031" t="str">
        <f>"BRACKET-FOG LAM"</f>
        <v>BRACKET-FOG LAM</v>
      </c>
      <c r="C3031">
        <v>0</v>
      </c>
      <c r="D3031">
        <v>802.12800000000004</v>
      </c>
    </row>
    <row r="3032" spans="1:4">
      <c r="A3032" t="str">
        <f>"26910-BR00A"</f>
        <v>26910-BR00A</v>
      </c>
      <c r="B3032" t="str">
        <f>"Кронштейн фары проти"</f>
        <v>Кронштейн фары проти</v>
      </c>
      <c r="C3032">
        <v>4</v>
      </c>
      <c r="D3032">
        <v>292.94400000000002</v>
      </c>
    </row>
    <row r="3033" spans="1:4">
      <c r="A3033" t="str">
        <f>"26910-EQ00A"</f>
        <v>26910-EQ00A</v>
      </c>
      <c r="B3033" t="str">
        <f>"Кронштейн фары проти"</f>
        <v>Кронштейн фары проти</v>
      </c>
      <c r="C3033">
        <v>10</v>
      </c>
      <c r="D3033">
        <v>975.12</v>
      </c>
    </row>
    <row r="3034" spans="1:4">
      <c r="A3034" t="str">
        <f>"26910-JD01A"</f>
        <v>26910-JD01A</v>
      </c>
      <c r="B3034" t="str">
        <f>"Кронштейн фары проти"</f>
        <v>Кронштейн фары проти</v>
      </c>
      <c r="C3034">
        <v>34</v>
      </c>
      <c r="D3034">
        <v>247.24799999999999</v>
      </c>
    </row>
    <row r="3035" spans="1:4">
      <c r="A3035" t="str">
        <f>"26910-JN00A"</f>
        <v>26910-JN00A</v>
      </c>
      <c r="B3035" t="str">
        <f>"Кронштейн фары проти"</f>
        <v>Кронштейн фары проти</v>
      </c>
      <c r="C3035">
        <v>1</v>
      </c>
      <c r="D3035">
        <v>487.56</v>
      </c>
    </row>
    <row r="3036" spans="1:4">
      <c r="A3036" t="str">
        <f>"26915-1KA0A"</f>
        <v>26915-1KA0A</v>
      </c>
      <c r="B3036" t="str">
        <f>"Кронштейн фары проти"</f>
        <v>Кронштейн фары проти</v>
      </c>
      <c r="C3036">
        <v>1</v>
      </c>
      <c r="D3036">
        <v>816.81599999999992</v>
      </c>
    </row>
    <row r="3037" spans="1:4">
      <c r="A3037" t="str">
        <f>"26915-BR00A"</f>
        <v>26915-BR00A</v>
      </c>
      <c r="B3037" t="str">
        <f>"Кронштейн противотум"</f>
        <v>Кронштейн противотум</v>
      </c>
      <c r="C3037">
        <v>0</v>
      </c>
      <c r="D3037">
        <v>279.88799999999998</v>
      </c>
    </row>
    <row r="3038" spans="1:4">
      <c r="A3038" t="str">
        <f>"26915-EQ00A"</f>
        <v>26915-EQ00A</v>
      </c>
      <c r="B3038" t="str">
        <f>"Кронштейн фары проти"</f>
        <v>Кронштейн фары проти</v>
      </c>
      <c r="C3038">
        <v>9</v>
      </c>
      <c r="D3038">
        <v>980.01599999999985</v>
      </c>
    </row>
    <row r="3039" spans="1:4">
      <c r="A3039" t="str">
        <f>"26915-JD01A"</f>
        <v>26915-JD01A</v>
      </c>
      <c r="B3039" t="str">
        <f>"Кронштейн фары проти"</f>
        <v>Кронштейн фары проти</v>
      </c>
      <c r="C3039">
        <v>34</v>
      </c>
      <c r="D3039">
        <v>326.39999999999998</v>
      </c>
    </row>
    <row r="3040" spans="1:4">
      <c r="A3040" t="str">
        <f>"26915-JN00A"</f>
        <v>26915-JN00A</v>
      </c>
      <c r="B3040" t="str">
        <f>"Кронштейн фары проти"</f>
        <v>Кронштейн фары проти</v>
      </c>
      <c r="C3040">
        <v>4</v>
      </c>
      <c r="D3040">
        <v>483.072</v>
      </c>
    </row>
    <row r="3041" spans="1:4">
      <c r="A3041" t="str">
        <f>"26981-JN20A"</f>
        <v>26981-JN20A</v>
      </c>
      <c r="B3041" t="str">
        <f>"Кронштейн фонаря про"</f>
        <v>Кронштейн фонаря про</v>
      </c>
      <c r="C3041">
        <v>30</v>
      </c>
      <c r="D3041">
        <v>1054.6799999999998</v>
      </c>
    </row>
    <row r="3042" spans="1:4">
      <c r="A3042" t="str">
        <f>"27100-95F0A"</f>
        <v>27100-95F0A</v>
      </c>
      <c r="B3042" t="str">
        <f>"Блок управления скор"</f>
        <v>Блок управления скор</v>
      </c>
      <c r="C3042">
        <v>14</v>
      </c>
      <c r="D3042">
        <v>763.36799999999994</v>
      </c>
    </row>
    <row r="3043" spans="1:4">
      <c r="A3043" t="str">
        <f>"27140-8H910"</f>
        <v>27140-8H910</v>
      </c>
      <c r="B3043" t="str">
        <f>"Радиатор печки"</f>
        <v>Радиатор печки</v>
      </c>
      <c r="C3043">
        <v>2</v>
      </c>
      <c r="D3043">
        <v>7790.76</v>
      </c>
    </row>
    <row r="3044" spans="1:4">
      <c r="A3044" t="str">
        <f>"27144-95F0A"</f>
        <v>27144-95F0A</v>
      </c>
      <c r="B3044" t="str">
        <f>"Пружина тормозного м"</f>
        <v>Пружина тормозного м</v>
      </c>
      <c r="C3044">
        <v>11</v>
      </c>
      <c r="D3044">
        <v>85.272000000000006</v>
      </c>
    </row>
    <row r="3045" spans="1:4">
      <c r="A3045" t="str">
        <f>"27150-0W014"</f>
        <v>27150-0W014</v>
      </c>
      <c r="B3045" t="str">
        <f t="shared" ref="B3045:B3054" si="54">"RESISTANCE-ELEC"</f>
        <v>RESISTANCE-ELEC</v>
      </c>
      <c r="C3045">
        <v>15</v>
      </c>
      <c r="D3045">
        <v>1155.864</v>
      </c>
    </row>
    <row r="3046" spans="1:4">
      <c r="A3046" t="str">
        <f>"27150-1N760"</f>
        <v>27150-1N760</v>
      </c>
      <c r="B3046" t="str">
        <f t="shared" si="54"/>
        <v>RESISTANCE-ELEC</v>
      </c>
      <c r="C3046">
        <v>18</v>
      </c>
      <c r="D3046">
        <v>1252.56</v>
      </c>
    </row>
    <row r="3047" spans="1:4">
      <c r="A3047" t="str">
        <f>"27150-2F901"</f>
        <v>27150-2F901</v>
      </c>
      <c r="B3047" t="str">
        <f t="shared" si="54"/>
        <v>RESISTANCE-ELEC</v>
      </c>
      <c r="C3047">
        <v>30</v>
      </c>
      <c r="D3047">
        <v>1275.4079999999999</v>
      </c>
    </row>
    <row r="3048" spans="1:4">
      <c r="A3048" t="str">
        <f>"27150-2J000"</f>
        <v>27150-2J000</v>
      </c>
      <c r="B3048" t="str">
        <f t="shared" si="54"/>
        <v>RESISTANCE-ELEC</v>
      </c>
      <c r="C3048">
        <v>2</v>
      </c>
      <c r="D3048">
        <v>1201.9679999999998</v>
      </c>
    </row>
    <row r="3049" spans="1:4">
      <c r="A3049" t="str">
        <f>"27150-3S810"</f>
        <v>27150-3S810</v>
      </c>
      <c r="B3049" t="str">
        <f t="shared" si="54"/>
        <v>RESISTANCE-ELEC</v>
      </c>
      <c r="C3049">
        <v>7</v>
      </c>
      <c r="D3049">
        <v>1153.8239999999998</v>
      </c>
    </row>
    <row r="3050" spans="1:4">
      <c r="A3050" t="str">
        <f>"27150-5T000"</f>
        <v>27150-5T000</v>
      </c>
      <c r="B3050" t="str">
        <f t="shared" si="54"/>
        <v>RESISTANCE-ELEC</v>
      </c>
      <c r="C3050">
        <v>8</v>
      </c>
      <c r="D3050">
        <v>1159.5359999999998</v>
      </c>
    </row>
    <row r="3051" spans="1:4">
      <c r="A3051" t="str">
        <f>"27150-62J60"</f>
        <v>27150-62J60</v>
      </c>
      <c r="B3051" t="str">
        <f t="shared" si="54"/>
        <v>RESISTANCE-ELEC</v>
      </c>
      <c r="C3051">
        <v>5</v>
      </c>
      <c r="D3051">
        <v>848.23199999999997</v>
      </c>
    </row>
    <row r="3052" spans="1:4">
      <c r="A3052" t="str">
        <f>"27150-64J65"</f>
        <v>27150-64J65</v>
      </c>
      <c r="B3052" t="str">
        <f t="shared" si="54"/>
        <v>RESISTANCE-ELEC</v>
      </c>
      <c r="C3052">
        <v>5</v>
      </c>
      <c r="D3052">
        <v>1383.528</v>
      </c>
    </row>
    <row r="3053" spans="1:4">
      <c r="A3053" t="str">
        <f>"27150-72B01"</f>
        <v>27150-72B01</v>
      </c>
      <c r="B3053" t="str">
        <f t="shared" si="54"/>
        <v>RESISTANCE-ELEC</v>
      </c>
      <c r="C3053">
        <v>11</v>
      </c>
      <c r="D3053">
        <v>936.3599999999999</v>
      </c>
    </row>
    <row r="3054" spans="1:4">
      <c r="A3054" t="str">
        <f>"27150-8H300"</f>
        <v>27150-8H300</v>
      </c>
      <c r="B3054" t="str">
        <f t="shared" si="54"/>
        <v>RESISTANCE-ELEC</v>
      </c>
      <c r="C3054">
        <v>19</v>
      </c>
      <c r="D3054">
        <v>1133.0159999999998</v>
      </c>
    </row>
    <row r="3055" spans="1:4">
      <c r="A3055" t="str">
        <f>"27150-AX115"</f>
        <v>27150-AX115</v>
      </c>
      <c r="B3055" t="str">
        <f>"Реле регулятора скор"</f>
        <v>Реле регулятора скор</v>
      </c>
      <c r="C3055">
        <v>9</v>
      </c>
      <c r="D3055">
        <v>1166.472</v>
      </c>
    </row>
    <row r="3056" spans="1:4">
      <c r="A3056" t="str">
        <f>"27150-ED70A"</f>
        <v>27150-ED70A</v>
      </c>
      <c r="B3056" t="str">
        <f>"Реле регулятора скор"</f>
        <v>Реле регулятора скор</v>
      </c>
      <c r="C3056">
        <v>2</v>
      </c>
      <c r="D3056">
        <v>1110.576</v>
      </c>
    </row>
    <row r="3057" spans="1:4">
      <c r="A3057" t="str">
        <f>"27150-EY00A"</f>
        <v>27150-EY00A</v>
      </c>
      <c r="B3057" t="str">
        <f>"Реле печки"</f>
        <v>Реле печки</v>
      </c>
      <c r="C3057">
        <v>0</v>
      </c>
      <c r="D3057">
        <v>656.88</v>
      </c>
    </row>
    <row r="3058" spans="1:4">
      <c r="A3058" t="str">
        <f>"27151-ZW00A"</f>
        <v>27151-ZW00A</v>
      </c>
      <c r="B3058" t="str">
        <f>"Реле печки"</f>
        <v>Реле печки</v>
      </c>
      <c r="C3058">
        <v>4</v>
      </c>
      <c r="D3058">
        <v>2407.1999999999998</v>
      </c>
    </row>
    <row r="3059" spans="1:4">
      <c r="A3059" t="str">
        <f>"27220-1N603"</f>
        <v>27220-1N603</v>
      </c>
      <c r="B3059" t="str">
        <f>"FAN WITH MOTOR"</f>
        <v>FAN WITH MOTOR</v>
      </c>
      <c r="C3059">
        <v>0</v>
      </c>
      <c r="D3059">
        <v>10545.575999999999</v>
      </c>
    </row>
    <row r="3060" spans="1:4">
      <c r="A3060" t="str">
        <f>"27220-2F906"</f>
        <v>27220-2F906</v>
      </c>
      <c r="B3060" t="str">
        <f>"MOTOR &amp; FAN ASS"</f>
        <v>MOTOR &amp; FAN ASS</v>
      </c>
      <c r="C3060">
        <v>5</v>
      </c>
      <c r="D3060">
        <v>9139.1999999999989</v>
      </c>
    </row>
    <row r="3061" spans="1:4">
      <c r="A3061" t="str">
        <f>"27220-2J003"</f>
        <v>27220-2J003</v>
      </c>
      <c r="B3061" t="str">
        <f>"Мотор и вентилятор п"</f>
        <v>Мотор и вентилятор п</v>
      </c>
      <c r="C3061">
        <v>8</v>
      </c>
      <c r="D3061">
        <v>8959.2720000000008</v>
      </c>
    </row>
    <row r="3062" spans="1:4">
      <c r="A3062" t="str">
        <f>"27220-2Y910"</f>
        <v>27220-2Y910</v>
      </c>
      <c r="B3062" t="str">
        <f>"FAN WITH MOTOR"</f>
        <v>FAN WITH MOTOR</v>
      </c>
      <c r="C3062">
        <v>8</v>
      </c>
      <c r="D3062">
        <v>9808.32</v>
      </c>
    </row>
    <row r="3063" spans="1:4">
      <c r="A3063" t="str">
        <f>"27220-7C300"</f>
        <v>27220-7C300</v>
      </c>
      <c r="B3063" t="str">
        <f>"MOTOR &amp; FAN ASS"</f>
        <v>MOTOR &amp; FAN ASS</v>
      </c>
      <c r="C3063">
        <v>4</v>
      </c>
      <c r="D3063">
        <v>10236.312</v>
      </c>
    </row>
    <row r="3064" spans="1:4">
      <c r="A3064" t="str">
        <f>"27220-7J201"</f>
        <v>27220-7J201</v>
      </c>
      <c r="B3064" t="str">
        <f>"FAN WITH MOTOR"</f>
        <v>FAN WITH MOTOR</v>
      </c>
      <c r="C3064">
        <v>12</v>
      </c>
      <c r="D3064">
        <v>8698.152</v>
      </c>
    </row>
    <row r="3065" spans="1:4">
      <c r="A3065" t="str">
        <f>"27220-VB002"</f>
        <v>27220-VB002</v>
      </c>
      <c r="B3065" t="str">
        <f>"FAN WITH MOTOR"</f>
        <v>FAN WITH MOTOR</v>
      </c>
      <c r="C3065">
        <v>44</v>
      </c>
      <c r="D3065">
        <v>5895.5999999999995</v>
      </c>
    </row>
    <row r="3066" spans="1:4">
      <c r="A3066" t="str">
        <f>"27220-VJ400"</f>
        <v>27220-VJ400</v>
      </c>
      <c r="B3066" t="str">
        <f>"Мотор вентилятор"</f>
        <v>Мотор вентилятор</v>
      </c>
      <c r="C3066">
        <v>2</v>
      </c>
      <c r="D3066">
        <v>7758.12</v>
      </c>
    </row>
    <row r="3067" spans="1:4">
      <c r="A3067" t="str">
        <f>"27225-8H31C"</f>
        <v>27225-8H31C</v>
      </c>
      <c r="B3067" t="str">
        <f t="shared" ref="B3067:B3075" si="55">"Мотор и вентилятор п"</f>
        <v>Мотор и вентилятор п</v>
      </c>
      <c r="C3067">
        <v>6</v>
      </c>
      <c r="D3067">
        <v>9833.616</v>
      </c>
    </row>
    <row r="3068" spans="1:4">
      <c r="A3068" t="str">
        <f>"27225-8H90B"</f>
        <v>27225-8H90B</v>
      </c>
      <c r="B3068" t="str">
        <f t="shared" si="55"/>
        <v>Мотор и вентилятор п</v>
      </c>
      <c r="C3068">
        <v>6</v>
      </c>
      <c r="D3068">
        <v>10125.744000000001</v>
      </c>
    </row>
    <row r="3069" spans="1:4">
      <c r="A3069" t="str">
        <f>"27225-95F0A"</f>
        <v>27225-95F0A</v>
      </c>
      <c r="B3069" t="str">
        <f t="shared" si="55"/>
        <v>Мотор и вентилятор п</v>
      </c>
      <c r="C3069">
        <v>8</v>
      </c>
      <c r="D3069">
        <v>7991.0879999999997</v>
      </c>
    </row>
    <row r="3070" spans="1:4">
      <c r="A3070" t="str">
        <f>"27225-9H60B"</f>
        <v>27225-9H60B</v>
      </c>
      <c r="B3070" t="str">
        <f t="shared" si="55"/>
        <v>Мотор и вентилятор п</v>
      </c>
      <c r="C3070">
        <v>38</v>
      </c>
      <c r="D3070">
        <v>12951.96</v>
      </c>
    </row>
    <row r="3071" spans="1:4">
      <c r="A3071" t="str">
        <f>"27225-AM611"</f>
        <v>27225-AM611</v>
      </c>
      <c r="B3071" t="str">
        <f t="shared" si="55"/>
        <v>Мотор и вентилятор п</v>
      </c>
      <c r="C3071">
        <v>29</v>
      </c>
      <c r="D3071">
        <v>7820.9519999999993</v>
      </c>
    </row>
    <row r="3072" spans="1:4">
      <c r="A3072" t="str">
        <f>"27225-ET10A"</f>
        <v>27225-ET10A</v>
      </c>
      <c r="B3072" t="str">
        <f t="shared" si="55"/>
        <v>Мотор и вентилятор п</v>
      </c>
      <c r="C3072">
        <v>31</v>
      </c>
      <c r="D3072">
        <v>9645.9359999999997</v>
      </c>
    </row>
    <row r="3073" spans="1:4">
      <c r="A3073" t="str">
        <f>"27225-JD00A"</f>
        <v>27225-JD00A</v>
      </c>
      <c r="B3073" t="str">
        <f t="shared" si="55"/>
        <v>Мотор и вентилятор п</v>
      </c>
      <c r="C3073">
        <v>36</v>
      </c>
      <c r="D3073">
        <v>9656.9519999999993</v>
      </c>
    </row>
    <row r="3074" spans="1:4">
      <c r="A3074" t="str">
        <f>"27225-JK60B"</f>
        <v>27225-JK60B</v>
      </c>
      <c r="B3074" t="str">
        <f t="shared" si="55"/>
        <v>Мотор и вентилятор п</v>
      </c>
      <c r="C3074">
        <v>1</v>
      </c>
      <c r="D3074">
        <v>9450.0959999999995</v>
      </c>
    </row>
    <row r="3075" spans="1:4">
      <c r="A3075" t="str">
        <f>"27225-JK60D"</f>
        <v>27225-JK60D</v>
      </c>
      <c r="B3075" t="str">
        <f t="shared" si="55"/>
        <v>Мотор и вентилятор п</v>
      </c>
      <c r="C3075">
        <v>16</v>
      </c>
      <c r="D3075">
        <v>9450.0959999999995</v>
      </c>
    </row>
    <row r="3076" spans="1:4">
      <c r="A3076" t="str">
        <f>"27226-70T03"</f>
        <v>27226-70T03</v>
      </c>
      <c r="B3076" t="str">
        <f>"Реле регулятор мотор"</f>
        <v>Реле регулятор мотор</v>
      </c>
      <c r="C3076">
        <v>0</v>
      </c>
      <c r="D3076">
        <v>3304.7999999999997</v>
      </c>
    </row>
    <row r="3077" spans="1:4">
      <c r="A3077" t="str">
        <f>"27226-9U01A"</f>
        <v>27226-9U01A</v>
      </c>
      <c r="B3077" t="str">
        <f>"Мотор и вентилятор п"</f>
        <v>Мотор и вентилятор п</v>
      </c>
      <c r="C3077">
        <v>26</v>
      </c>
      <c r="D3077">
        <v>6696.9120000000003</v>
      </c>
    </row>
    <row r="3078" spans="1:4">
      <c r="A3078" t="str">
        <f>"27226-EA01A"</f>
        <v>27226-EA01A</v>
      </c>
      <c r="B3078" t="str">
        <f>"Мотор и вентилятор п"</f>
        <v>Мотор и вентилятор п</v>
      </c>
      <c r="C3078">
        <v>7</v>
      </c>
      <c r="D3078">
        <v>11723.88</v>
      </c>
    </row>
    <row r="3079" spans="1:4">
      <c r="A3079" t="str">
        <f>"27226-EE91B"</f>
        <v>27226-EE91B</v>
      </c>
      <c r="B3079" t="str">
        <f>"Мотор и вентилятор п"</f>
        <v>Мотор и вентилятор п</v>
      </c>
      <c r="C3079">
        <v>4</v>
      </c>
      <c r="D3079">
        <v>3727.8959999999997</v>
      </c>
    </row>
    <row r="3080" spans="1:4">
      <c r="A3080" t="str">
        <f>"27230-2M100"</f>
        <v>27230-2M100</v>
      </c>
      <c r="B3080" t="str">
        <f>"IMPELLER-FAN"</f>
        <v>IMPELLER-FAN</v>
      </c>
      <c r="C3080">
        <v>9</v>
      </c>
      <c r="D3080">
        <v>871.48799999999994</v>
      </c>
    </row>
    <row r="3081" spans="1:4">
      <c r="A3081" t="str">
        <f>"27236-BN010"</f>
        <v>27236-BN010</v>
      </c>
      <c r="B3081" t="str">
        <f>"CASE-BLOWER"</f>
        <v>CASE-BLOWER</v>
      </c>
      <c r="C3081">
        <v>12</v>
      </c>
      <c r="D3081">
        <v>11188.175999999999</v>
      </c>
    </row>
    <row r="3082" spans="1:4">
      <c r="A3082" t="str">
        <f>"27274-4Y125"</f>
        <v>27274-4Y125</v>
      </c>
      <c r="B3082" t="str">
        <f>"FILTER AIR"</f>
        <v>FILTER AIR</v>
      </c>
      <c r="C3082">
        <v>16</v>
      </c>
      <c r="D3082">
        <v>591.19200000000001</v>
      </c>
    </row>
    <row r="3083" spans="1:4">
      <c r="A3083" t="str">
        <f>"27274-6P125"</f>
        <v>27274-6P125</v>
      </c>
      <c r="B3083" t="str">
        <f>"FILTER KIT-AIR"</f>
        <v>FILTER KIT-AIR</v>
      </c>
      <c r="C3083">
        <v>4</v>
      </c>
      <c r="D3083">
        <v>561.4079999999999</v>
      </c>
    </row>
    <row r="3084" spans="1:4">
      <c r="A3084" t="str">
        <f>"27275-1N625"</f>
        <v>27275-1N625</v>
      </c>
      <c r="B3084" t="str">
        <f>"FILTER KIT-AIR,"</f>
        <v>FILTER KIT-AIR,</v>
      </c>
      <c r="C3084">
        <v>3</v>
      </c>
      <c r="D3084">
        <v>501.84</v>
      </c>
    </row>
    <row r="3085" spans="1:4">
      <c r="A3085" t="str">
        <f>"27275-1N6P6"</f>
        <v>27275-1N6P6</v>
      </c>
      <c r="B3085" t="str">
        <f>"CABIN FILTER PO"</f>
        <v>CABIN FILTER PO</v>
      </c>
      <c r="C3085">
        <v>4</v>
      </c>
      <c r="D3085">
        <v>501.84</v>
      </c>
    </row>
    <row r="3086" spans="1:4">
      <c r="A3086" t="str">
        <f>"27275-2W625"</f>
        <v>27275-2W625</v>
      </c>
      <c r="B3086" t="str">
        <f>"FILTER KIT-AIR"</f>
        <v>FILTER KIT-AIR</v>
      </c>
      <c r="C3086">
        <v>28</v>
      </c>
      <c r="D3086">
        <v>912.28800000000001</v>
      </c>
    </row>
    <row r="3087" spans="1:4">
      <c r="A3087" t="str">
        <f>"27276-JN20A"</f>
        <v>27276-JN20A</v>
      </c>
      <c r="B3087" t="str">
        <f>"Крышка фильтра"</f>
        <v>Крышка фильтра</v>
      </c>
      <c r="C3087">
        <v>16</v>
      </c>
      <c r="D3087">
        <v>201.14400000000001</v>
      </c>
    </row>
    <row r="3088" spans="1:4">
      <c r="A3088" t="str">
        <f>"27277-1ME0A"</f>
        <v>27277-1ME0A</v>
      </c>
      <c r="B3088" t="str">
        <f>"Фильтр вентиляции са"</f>
        <v>Фильтр вентиляции са</v>
      </c>
      <c r="C3088">
        <v>7</v>
      </c>
      <c r="D3088">
        <v>1390.8719999999998</v>
      </c>
    </row>
    <row r="3089" spans="1:4">
      <c r="A3089" t="str">
        <f>"27277-1ME0B"</f>
        <v>27277-1ME0B</v>
      </c>
      <c r="B3089" t="str">
        <f>"Фильтр вентиляции са"</f>
        <v>Фильтр вентиляции са</v>
      </c>
      <c r="C3089">
        <v>10</v>
      </c>
      <c r="D3089">
        <v>2195.4479999999999</v>
      </c>
    </row>
    <row r="3090" spans="1:4">
      <c r="A3090" t="str">
        <f>"27277-9W125"</f>
        <v>27277-9W125</v>
      </c>
      <c r="B3090" t="str">
        <f>"Фильтр вентиляции са"</f>
        <v>Фильтр вентиляции са</v>
      </c>
      <c r="C3090">
        <v>93</v>
      </c>
      <c r="D3090">
        <v>1393.32</v>
      </c>
    </row>
    <row r="3091" spans="1:4">
      <c r="A3091" t="str">
        <f>"27277-AR225"</f>
        <v>27277-AR225</v>
      </c>
      <c r="B3091" t="str">
        <f>"FILTER KIT-AIR"</f>
        <v>FILTER KIT-AIR</v>
      </c>
      <c r="C3091">
        <v>2</v>
      </c>
      <c r="D3091">
        <v>1793.9759999999999</v>
      </c>
    </row>
    <row r="3092" spans="1:4">
      <c r="A3092" t="str">
        <f>"27277-EN000"</f>
        <v>27277-EN000</v>
      </c>
      <c r="B3092" t="str">
        <f>"Фильтр вентиляции са"</f>
        <v>Фильтр вентиляции са</v>
      </c>
      <c r="C3092">
        <v>7</v>
      </c>
      <c r="D3092">
        <v>591.19200000000001</v>
      </c>
    </row>
    <row r="3093" spans="1:4">
      <c r="A3093" t="str">
        <f>"27277-JA00A"</f>
        <v>27277-JA00A</v>
      </c>
      <c r="B3093" t="str">
        <f>"Фильтр вентиляции са"</f>
        <v>Фильтр вентиляции са</v>
      </c>
      <c r="C3093">
        <v>305</v>
      </c>
      <c r="D3093">
        <v>968.59199999999987</v>
      </c>
    </row>
    <row r="3094" spans="1:4">
      <c r="A3094" t="str">
        <f>"27281-EL00A"</f>
        <v>27281-EL00A</v>
      </c>
      <c r="B3094" t="str">
        <f>"Испаритель кондицион"</f>
        <v>Испаритель кондицион</v>
      </c>
      <c r="C3094">
        <v>0</v>
      </c>
      <c r="D3094">
        <v>6851.5439999999999</v>
      </c>
    </row>
    <row r="3095" spans="1:4">
      <c r="A3095" t="str">
        <f>"27299-5Z000"</f>
        <v>27299-5Z000</v>
      </c>
      <c r="B3095" t="str">
        <f>"Фильтр вентиляции са"</f>
        <v>Фильтр вентиляции са</v>
      </c>
      <c r="C3095">
        <v>0</v>
      </c>
      <c r="D3095">
        <v>701.75999999999988</v>
      </c>
    </row>
    <row r="3096" spans="1:4">
      <c r="A3096" t="str">
        <f>"27440-95F0A"</f>
        <v>27440-95F0A</v>
      </c>
      <c r="B3096" t="str">
        <f>"Форсунка омывателя л"</f>
        <v>Форсунка омывателя л</v>
      </c>
      <c r="C3096">
        <v>14</v>
      </c>
      <c r="D3096">
        <v>437.37600000000003</v>
      </c>
    </row>
    <row r="3097" spans="1:4">
      <c r="A3097" t="str">
        <f>"27445-95F0A"</f>
        <v>27445-95F0A</v>
      </c>
      <c r="B3097" t="str">
        <f>"Форсунка омывателя л"</f>
        <v>Форсунка омывателя л</v>
      </c>
      <c r="C3097">
        <v>10</v>
      </c>
      <c r="D3097">
        <v>434.52000000000004</v>
      </c>
    </row>
    <row r="3098" spans="1:4">
      <c r="A3098" t="str">
        <f>"27465-R3000"</f>
        <v>27465-R3000</v>
      </c>
      <c r="B3098" t="str">
        <f>"CONN 3WAY WINDS"</f>
        <v>CONN 3WAY WINDS</v>
      </c>
      <c r="C3098">
        <v>10</v>
      </c>
      <c r="D3098">
        <v>37.536000000000001</v>
      </c>
    </row>
    <row r="3099" spans="1:4">
      <c r="A3099" t="str">
        <f>"27480-95F0B"</f>
        <v>27480-95F0B</v>
      </c>
      <c r="B3099" t="str">
        <f>"Бачок омывателя без "</f>
        <v xml:space="preserve">Бачок омывателя без </v>
      </c>
      <c r="C3099">
        <v>5</v>
      </c>
      <c r="D3099">
        <v>3207.6959999999999</v>
      </c>
    </row>
    <row r="3100" spans="1:4">
      <c r="A3100" t="str">
        <f>"27490-95F0A"</f>
        <v>27490-95F0A</v>
      </c>
      <c r="B3100" t="str">
        <f>"Насос омывателя"</f>
        <v>Насос омывателя</v>
      </c>
      <c r="C3100">
        <v>21</v>
      </c>
      <c r="D3100">
        <v>924.93599999999992</v>
      </c>
    </row>
    <row r="3101" spans="1:4">
      <c r="A3101" t="str">
        <f>"27512-JG40B"</f>
        <v>27512-JG40B</v>
      </c>
      <c r="B3101" t="str">
        <f>"Регулятор печки сало"</f>
        <v>Регулятор печки сало</v>
      </c>
      <c r="C3101">
        <v>2</v>
      </c>
      <c r="D3101">
        <v>2856</v>
      </c>
    </row>
    <row r="3102" spans="1:4">
      <c r="A3102" t="str">
        <f>"27545-0N002"</f>
        <v>27545-0N002</v>
      </c>
      <c r="B3102" t="str">
        <f>"LAMP ASSY"</f>
        <v>LAMP ASSY</v>
      </c>
      <c r="C3102">
        <v>15</v>
      </c>
      <c r="D3102">
        <v>152.184</v>
      </c>
    </row>
    <row r="3103" spans="1:4">
      <c r="A3103" t="str">
        <f>"27545-1W600"</f>
        <v>27545-1W600</v>
      </c>
      <c r="B3103" t="str">
        <f>"LAMP ASSY"</f>
        <v>LAMP ASSY</v>
      </c>
      <c r="C3103">
        <v>45</v>
      </c>
      <c r="D3103">
        <v>149.328</v>
      </c>
    </row>
    <row r="3104" spans="1:4">
      <c r="A3104" t="str">
        <f>"27545-2Y010"</f>
        <v>27545-2Y010</v>
      </c>
      <c r="B3104" t="str">
        <f>"LAMP ASSY"</f>
        <v>LAMP ASSY</v>
      </c>
      <c r="C3104">
        <v>15</v>
      </c>
      <c r="D3104">
        <v>148.512</v>
      </c>
    </row>
    <row r="3105" spans="1:4">
      <c r="A3105" t="str">
        <f>"27545-8E100"</f>
        <v>27545-8E100</v>
      </c>
      <c r="B3105" t="str">
        <f>"LAMP ASSY"</f>
        <v>LAMP ASSY</v>
      </c>
      <c r="C3105">
        <v>28</v>
      </c>
      <c r="D3105">
        <v>150.55199999999999</v>
      </c>
    </row>
    <row r="3106" spans="1:4">
      <c r="A3106" t="str">
        <f>"27545-BN000"</f>
        <v>27545-BN000</v>
      </c>
      <c r="B3106" t="str">
        <f>"LAMP ASSY-HEATE"</f>
        <v>LAMP ASSY-HEATE</v>
      </c>
      <c r="C3106">
        <v>25</v>
      </c>
      <c r="D3106">
        <v>177.88800000000001</v>
      </c>
    </row>
    <row r="3107" spans="1:4">
      <c r="A3107" t="str">
        <f>"27545-BN001"</f>
        <v>27545-BN001</v>
      </c>
      <c r="B3107" t="str">
        <f>"LAMP ASSY-HEATE"</f>
        <v>LAMP ASSY-HEATE</v>
      </c>
      <c r="C3107">
        <v>72</v>
      </c>
      <c r="D3107">
        <v>191.76000000000002</v>
      </c>
    </row>
    <row r="3108" spans="1:4">
      <c r="A3108" t="str">
        <f>"27545-BN005"</f>
        <v>27545-BN005</v>
      </c>
      <c r="B3108" t="str">
        <f>"LAMP ASSY-HEATE"</f>
        <v>LAMP ASSY-HEATE</v>
      </c>
      <c r="C3108">
        <v>4</v>
      </c>
      <c r="D3108">
        <v>188.90399999999997</v>
      </c>
    </row>
    <row r="3109" spans="1:4">
      <c r="A3109" t="str">
        <f>"27545-BN010"</f>
        <v>27545-BN010</v>
      </c>
      <c r="B3109" t="str">
        <f>"LAMP ASSY-HEATE"</f>
        <v>LAMP ASSY-HEATE</v>
      </c>
      <c r="C3109">
        <v>5</v>
      </c>
      <c r="D3109">
        <v>138.72</v>
      </c>
    </row>
    <row r="3110" spans="1:4">
      <c r="A3110" t="str">
        <f>"27640-95F0A"</f>
        <v>27640-95F0A</v>
      </c>
      <c r="B3110" t="str">
        <f>"БАЧЁК ОСУШИТЕЛЬ"</f>
        <v>БАЧЁК ОСУШИТЕЛЬ</v>
      </c>
      <c r="C3110">
        <v>0</v>
      </c>
      <c r="D3110">
        <v>3569.5919999999996</v>
      </c>
    </row>
    <row r="3111" spans="1:4">
      <c r="A3111" t="str">
        <f>"27650-95F0B"</f>
        <v>27650-95F0B</v>
      </c>
      <c r="B3111" t="str">
        <f>"Радиатор кондиционер"</f>
        <v>Радиатор кондиционер</v>
      </c>
      <c r="C3111">
        <v>3</v>
      </c>
      <c r="D3111">
        <v>12507.648000000001</v>
      </c>
    </row>
    <row r="3112" spans="1:4">
      <c r="A3112" t="str">
        <f>"27710-2Y00A"</f>
        <v>27710-2Y00A</v>
      </c>
      <c r="B3112" t="str">
        <f>"Датчик наружной темп"</f>
        <v>Датчик наружной темп</v>
      </c>
      <c r="C3112">
        <v>1</v>
      </c>
      <c r="D3112">
        <v>1180.752</v>
      </c>
    </row>
    <row r="3113" spans="1:4">
      <c r="A3113" t="str">
        <f>"27710-31U00"</f>
        <v>27710-31U00</v>
      </c>
      <c r="B3113" t="str">
        <f>"SENSOR ASSY"</f>
        <v>SENSOR ASSY</v>
      </c>
      <c r="C3113">
        <v>4</v>
      </c>
      <c r="D3113">
        <v>1255.8239999999998</v>
      </c>
    </row>
    <row r="3114" spans="1:4">
      <c r="A3114" t="str">
        <f>"27720-3AA0A"</f>
        <v>27720-3AA0A</v>
      </c>
      <c r="B3114" t="str">
        <f>"Датчик внутрисалонны"</f>
        <v>Датчик внутрисалонны</v>
      </c>
      <c r="C3114">
        <v>0</v>
      </c>
      <c r="D3114">
        <v>393.72</v>
      </c>
    </row>
    <row r="3115" spans="1:4">
      <c r="A3115" t="str">
        <f>"27722-2F000"</f>
        <v>27722-2F000</v>
      </c>
      <c r="B3115" t="str">
        <f>"SENSOR ASSY-AMB"</f>
        <v>SENSOR ASSY-AMB</v>
      </c>
      <c r="C3115">
        <v>5</v>
      </c>
      <c r="D3115">
        <v>1409.64</v>
      </c>
    </row>
    <row r="3116" spans="1:4">
      <c r="A3116" t="str">
        <f>"27722-2F010"</f>
        <v>27722-2F010</v>
      </c>
      <c r="B3116" t="str">
        <f>"SENSOR ASSY-AMB"</f>
        <v>SENSOR ASSY-AMB</v>
      </c>
      <c r="C3116">
        <v>2</v>
      </c>
      <c r="D3116">
        <v>582.62399999999991</v>
      </c>
    </row>
    <row r="3117" spans="1:4">
      <c r="A3117" t="str">
        <f>"27722-AL500"</f>
        <v>27722-AL500</v>
      </c>
      <c r="B3117" t="str">
        <f>"SENSOR ASSY-AMB"</f>
        <v>SENSOR ASSY-AMB</v>
      </c>
      <c r="C3117">
        <v>3</v>
      </c>
      <c r="D3117">
        <v>1829.0640000000001</v>
      </c>
    </row>
    <row r="3118" spans="1:4">
      <c r="A3118" t="str">
        <f>"27722-AX600"</f>
        <v>27722-AX600</v>
      </c>
      <c r="B3118" t="str">
        <f>"Датчик наружной темп"</f>
        <v>Датчик наружной темп</v>
      </c>
      <c r="C3118">
        <v>2</v>
      </c>
      <c r="D3118">
        <v>1142.3999999999999</v>
      </c>
    </row>
    <row r="3119" spans="1:4">
      <c r="A3119" t="str">
        <f>"27722-AX610"</f>
        <v>27722-AX610</v>
      </c>
      <c r="B3119" t="str">
        <f>"Датчик наружной темп"</f>
        <v>Датчик наружной темп</v>
      </c>
      <c r="C3119">
        <v>1</v>
      </c>
      <c r="D3119">
        <v>1115.8799999999999</v>
      </c>
    </row>
    <row r="3120" spans="1:4">
      <c r="A3120" t="str">
        <f>"27732-AL610"</f>
        <v>27732-AL610</v>
      </c>
      <c r="B3120" t="str">
        <f>"Электропривод шторки"</f>
        <v>Электропривод шторки</v>
      </c>
      <c r="C3120">
        <v>2</v>
      </c>
      <c r="D3120">
        <v>2754</v>
      </c>
    </row>
    <row r="3121" spans="1:4">
      <c r="A3121" t="str">
        <f>"27743-ZH10A"</f>
        <v>27743-ZH10A</v>
      </c>
      <c r="B3121" t="str">
        <f>"Регулятор электромех"</f>
        <v>Регулятор электромех</v>
      </c>
      <c r="C3121">
        <v>3</v>
      </c>
      <c r="D3121">
        <v>1266.0239999999999</v>
      </c>
    </row>
    <row r="3122" spans="1:4">
      <c r="A3122" t="str">
        <f>"27743-ZP00A"</f>
        <v>27743-ZP00A</v>
      </c>
      <c r="B3122" t="str">
        <f>"Регулятор вентиляции"</f>
        <v>Регулятор вентиляции</v>
      </c>
      <c r="C3122">
        <v>2</v>
      </c>
      <c r="D3122">
        <v>1285.2</v>
      </c>
    </row>
    <row r="3123" spans="1:4">
      <c r="A3123" t="str">
        <f>"27761-2Y000"</f>
        <v>27761-2Y000</v>
      </c>
      <c r="B3123" t="str">
        <f>"MODULE ASSY-POW"</f>
        <v>MODULE ASSY-POW</v>
      </c>
      <c r="C3123">
        <v>18</v>
      </c>
      <c r="D3123">
        <v>3390.8879999999995</v>
      </c>
    </row>
    <row r="3124" spans="1:4">
      <c r="A3124" t="str">
        <f>"27761-70T03"</f>
        <v>27761-70T03</v>
      </c>
      <c r="B3124" t="str">
        <f>"MODULE ASSY"</f>
        <v>MODULE ASSY</v>
      </c>
      <c r="C3124">
        <v>21</v>
      </c>
      <c r="D3124">
        <v>4952.7120000000004</v>
      </c>
    </row>
    <row r="3125" spans="1:4">
      <c r="A3125" t="str">
        <f>"27761-7F001"</f>
        <v>27761-7F001</v>
      </c>
      <c r="B3125" t="str">
        <f>"MODULE ASSY-POW"</f>
        <v>MODULE ASSY-POW</v>
      </c>
      <c r="C3125">
        <v>3</v>
      </c>
      <c r="D3125">
        <v>747.04799999999989</v>
      </c>
    </row>
    <row r="3126" spans="1:4">
      <c r="A3126" t="str">
        <f>"27761-AV600"</f>
        <v>27761-AV600</v>
      </c>
      <c r="B3126" t="str">
        <f>"MODULE ASSY-POW"</f>
        <v>MODULE ASSY-POW</v>
      </c>
      <c r="C3126">
        <v>94</v>
      </c>
      <c r="D3126">
        <v>1043.664</v>
      </c>
    </row>
    <row r="3127" spans="1:4">
      <c r="A3127" t="str">
        <f>"27761-AX000"</f>
        <v>27761-AX000</v>
      </c>
      <c r="B3127" t="str">
        <f>"Блок управления скор"</f>
        <v>Блок управления скор</v>
      </c>
      <c r="C3127">
        <v>1</v>
      </c>
      <c r="D3127">
        <v>3716.88</v>
      </c>
    </row>
    <row r="3128" spans="1:4">
      <c r="A3128" t="str">
        <f>"27761-AX010"</f>
        <v>27761-AX010</v>
      </c>
      <c r="B3128" t="str">
        <f>"Блок управления скор"</f>
        <v>Блок управления скор</v>
      </c>
      <c r="C3128">
        <v>4</v>
      </c>
      <c r="D3128">
        <v>1299.48</v>
      </c>
    </row>
    <row r="3129" spans="1:4">
      <c r="A3129" t="str">
        <f>"27872-40U00"</f>
        <v>27872-40U00</v>
      </c>
      <c r="B3129" t="str">
        <f>"DUCT-SIDE VENT"</f>
        <v>DUCT-SIDE VENT</v>
      </c>
      <c r="C3129">
        <v>1</v>
      </c>
      <c r="D3129">
        <v>613.63199999999995</v>
      </c>
    </row>
    <row r="3130" spans="1:4">
      <c r="A3130" t="str">
        <f>"27891-AX01A"</f>
        <v>27891-AX01A</v>
      </c>
      <c r="B3130" t="str">
        <f>"Фильтр вентиляции са"</f>
        <v>Фильтр вентиляции са</v>
      </c>
      <c r="C3130">
        <v>27</v>
      </c>
      <c r="D3130">
        <v>532.03200000000004</v>
      </c>
    </row>
    <row r="3131" spans="1:4">
      <c r="A3131" t="str">
        <f>"27891-AX025"</f>
        <v>27891-AX025</v>
      </c>
      <c r="B3131" t="str">
        <f>"Фильтр салона"</f>
        <v>Фильтр салона</v>
      </c>
      <c r="C3131">
        <v>6</v>
      </c>
      <c r="D3131">
        <v>532.03200000000004</v>
      </c>
    </row>
    <row r="3132" spans="1:4">
      <c r="A3132" t="str">
        <f>"27891-BM401-KE"</f>
        <v>27891-BM401-KE</v>
      </c>
      <c r="B3132" t="str">
        <f>"CABIN FILTER PO"</f>
        <v>CABIN FILTER PO</v>
      </c>
      <c r="C3132">
        <v>49</v>
      </c>
      <c r="D3132">
        <v>532.03200000000004</v>
      </c>
    </row>
    <row r="3133" spans="1:4">
      <c r="A3133" t="str">
        <f>"27891-ED025"</f>
        <v>27891-ED025</v>
      </c>
      <c r="B3133" t="str">
        <f>"Фильтр салона"</f>
        <v>Фильтр салона</v>
      </c>
      <c r="C3133">
        <v>6</v>
      </c>
      <c r="D3133">
        <v>906.16800000000001</v>
      </c>
    </row>
    <row r="3134" spans="1:4">
      <c r="A3134" t="str">
        <f>"27891-EL00A"</f>
        <v>27891-EL00A</v>
      </c>
      <c r="B3134" t="str">
        <f>"Фильтр вентиляции са"</f>
        <v>Фильтр вентиляции са</v>
      </c>
      <c r="C3134">
        <v>116</v>
      </c>
      <c r="D3134">
        <v>842.52</v>
      </c>
    </row>
    <row r="3135" spans="1:4">
      <c r="A3135" t="str">
        <f>"27893-6F600-KE"</f>
        <v>27893-6F600-KE</v>
      </c>
      <c r="B3135" t="str">
        <f>"CABIN FILTER PO"</f>
        <v>CABIN FILTER PO</v>
      </c>
      <c r="C3135">
        <v>1</v>
      </c>
      <c r="D3135">
        <v>536.11199999999997</v>
      </c>
    </row>
    <row r="3136" spans="1:4">
      <c r="A3136" t="str">
        <f>"27893-9F500-KE"</f>
        <v>27893-9F500-KE</v>
      </c>
      <c r="B3136" t="str">
        <f>"CABIN FILTER PO"</f>
        <v>CABIN FILTER PO</v>
      </c>
      <c r="C3136">
        <v>9</v>
      </c>
      <c r="D3136">
        <v>532.03200000000004</v>
      </c>
    </row>
    <row r="3137" spans="1:4">
      <c r="A3137" t="str">
        <f>"28023-BH00A"</f>
        <v>28023-BH00A</v>
      </c>
      <c r="B3137" t="str">
        <f>"Соеденитель аудио си"</f>
        <v>Соеденитель аудио си</v>
      </c>
      <c r="C3137">
        <v>0</v>
      </c>
      <c r="D3137">
        <v>560.18399999999997</v>
      </c>
    </row>
    <row r="3138" spans="1:4">
      <c r="A3138" t="str">
        <f>"28038-12G00"</f>
        <v>28038-12G00</v>
      </c>
      <c r="B3138" t="str">
        <f>"BRACKET-RADIO"</f>
        <v>BRACKET-RADIO</v>
      </c>
      <c r="C3138">
        <v>1</v>
      </c>
      <c r="D3138">
        <v>253.77599999999998</v>
      </c>
    </row>
    <row r="3139" spans="1:4">
      <c r="A3139" t="str">
        <f>"28074-BM411"</f>
        <v>28074-BM411</v>
      </c>
      <c r="B3139" t="str">
        <f>"AUDIO FIN. GREY"</f>
        <v>AUDIO FIN. GREY</v>
      </c>
      <c r="C3139">
        <v>4</v>
      </c>
      <c r="D3139">
        <v>1266.4319999999998</v>
      </c>
    </row>
    <row r="3140" spans="1:4">
      <c r="A3140" t="str">
        <f>"28174-70J00"</f>
        <v>28174-70J00</v>
      </c>
      <c r="B3140" t="str">
        <f>"ДИНАМИК АКУСТ"</f>
        <v>ДИНАМИК АКУСТ</v>
      </c>
      <c r="C3140">
        <v>2</v>
      </c>
      <c r="D3140">
        <v>848.64</v>
      </c>
    </row>
    <row r="3141" spans="1:4">
      <c r="A3141" t="str">
        <f>"28184-4M560"</f>
        <v>28184-4M560</v>
      </c>
      <c r="B3141" t="str">
        <f>"DECK-CD"</f>
        <v>DECK-CD</v>
      </c>
      <c r="C3141">
        <v>1</v>
      </c>
      <c r="D3141">
        <v>8441.1119999999992</v>
      </c>
    </row>
    <row r="3142" spans="1:4">
      <c r="A3142" t="str">
        <f>"28185-AV710"</f>
        <v>28185-AV710</v>
      </c>
      <c r="B3142" t="str">
        <f>"DECK-CD"</f>
        <v>DECK-CD</v>
      </c>
      <c r="C3142">
        <v>1</v>
      </c>
      <c r="D3142">
        <v>18451.8</v>
      </c>
    </row>
    <row r="3143" spans="1:4">
      <c r="A3143" t="str">
        <f>"28200-VB09A"</f>
        <v>28200-VB09A</v>
      </c>
      <c r="B3143" t="str">
        <f>"Шток антенны"</f>
        <v>Шток антенны</v>
      </c>
      <c r="C3143">
        <v>1</v>
      </c>
      <c r="D3143">
        <v>9876.8639999999996</v>
      </c>
    </row>
    <row r="3144" spans="1:4">
      <c r="A3144" t="str">
        <f>"28200-VD39B"</f>
        <v>28200-VD39B</v>
      </c>
      <c r="B3144" t="str">
        <f>"Шток антенны"</f>
        <v>Шток антенны</v>
      </c>
      <c r="C3144">
        <v>5</v>
      </c>
      <c r="D3144">
        <v>11779.367999999999</v>
      </c>
    </row>
    <row r="3145" spans="1:4">
      <c r="A3145" t="str">
        <f>"28208-1N000"</f>
        <v>28208-1N000</v>
      </c>
      <c r="B3145" t="str">
        <f>"ANTENNA"</f>
        <v>ANTENNA</v>
      </c>
      <c r="C3145">
        <v>1</v>
      </c>
      <c r="D3145">
        <v>2231.7599999999998</v>
      </c>
    </row>
    <row r="3146" spans="1:4">
      <c r="A3146" t="str">
        <f>"28208-3F011"</f>
        <v>28208-3F011</v>
      </c>
      <c r="B3146" t="str">
        <f>"ANTENNA"</f>
        <v>ANTENNA</v>
      </c>
      <c r="C3146">
        <v>2</v>
      </c>
      <c r="D3146">
        <v>869.04000000000008</v>
      </c>
    </row>
    <row r="3147" spans="1:4">
      <c r="A3147" t="str">
        <f>"28208-JD50A"</f>
        <v>28208-JD50A</v>
      </c>
      <c r="B3147" t="str">
        <f>"Кронштейн антенн"</f>
        <v>Кронштейн антенн</v>
      </c>
      <c r="C3147">
        <v>4</v>
      </c>
      <c r="D3147">
        <v>3078.7679999999996</v>
      </c>
    </row>
    <row r="3148" spans="1:4">
      <c r="A3148" t="str">
        <f>"28208-JG40B"</f>
        <v>28208-JG40B</v>
      </c>
      <c r="B3148" t="str">
        <f>"Шток антенны"</f>
        <v>Шток антенны</v>
      </c>
      <c r="C3148">
        <v>0</v>
      </c>
      <c r="D3148">
        <v>3628.3439999999996</v>
      </c>
    </row>
    <row r="3149" spans="1:4">
      <c r="A3149" t="str">
        <f>"28215-1FC0A"</f>
        <v>28215-1FC0A</v>
      </c>
      <c r="B3149" t="str">
        <f>"Антена"</f>
        <v>Антена</v>
      </c>
      <c r="C3149">
        <v>0</v>
      </c>
      <c r="D3149">
        <v>421.87200000000001</v>
      </c>
    </row>
    <row r="3150" spans="1:4">
      <c r="A3150" t="str">
        <f>"28215-2F000"</f>
        <v>28215-2F000</v>
      </c>
      <c r="B3150" t="str">
        <f>"ROD-ANTENNA"</f>
        <v>ROD-ANTENNA</v>
      </c>
      <c r="C3150">
        <v>3</v>
      </c>
      <c r="D3150">
        <v>685.84799999999996</v>
      </c>
    </row>
    <row r="3151" spans="1:4">
      <c r="A3151" t="str">
        <f>"28215-38Y06"</f>
        <v>28215-38Y06</v>
      </c>
      <c r="B3151" t="str">
        <f>"ANT ASSY PILLAR"</f>
        <v>ANT ASSY PILLAR</v>
      </c>
      <c r="C3151">
        <v>6</v>
      </c>
      <c r="D3151">
        <v>1355.376</v>
      </c>
    </row>
    <row r="3152" spans="1:4">
      <c r="A3152" t="str">
        <f>"28215-8H700"</f>
        <v>28215-8H700</v>
      </c>
      <c r="B3152" t="str">
        <f>"ANT ASSY PILLAR"</f>
        <v>ANT ASSY PILLAR</v>
      </c>
      <c r="C3152">
        <v>9</v>
      </c>
      <c r="D3152">
        <v>1167.288</v>
      </c>
    </row>
    <row r="3153" spans="1:4">
      <c r="A3153" t="str">
        <f>"28215-9B000"</f>
        <v>28215-9B000</v>
      </c>
      <c r="B3153" t="str">
        <f>"Шток антены"</f>
        <v>Шток антены</v>
      </c>
      <c r="C3153">
        <v>3</v>
      </c>
      <c r="D3153">
        <v>1714.4159999999999</v>
      </c>
    </row>
    <row r="3154" spans="1:4">
      <c r="A3154" t="str">
        <f>"28215-AV710"</f>
        <v>28215-AV710</v>
      </c>
      <c r="B3154" t="str">
        <f>"ROD-ANTENNA"</f>
        <v>ROD-ANTENNA</v>
      </c>
      <c r="C3154">
        <v>3</v>
      </c>
      <c r="D3154">
        <v>459.40799999999996</v>
      </c>
    </row>
    <row r="3155" spans="1:4">
      <c r="A3155" t="str">
        <f>"28215-AX600"</f>
        <v>28215-AX600</v>
      </c>
      <c r="B3155" t="str">
        <f>"ROD-ANT. 850MM"</f>
        <v>ROD-ANT. 850MM</v>
      </c>
      <c r="C3155">
        <v>23</v>
      </c>
      <c r="D3155">
        <v>984.50399999999991</v>
      </c>
    </row>
    <row r="3156" spans="1:4">
      <c r="A3156" t="str">
        <f>"28215-BA000"</f>
        <v>28215-BA000</v>
      </c>
      <c r="B3156" t="str">
        <f>"Шток антенны"</f>
        <v>Шток антенны</v>
      </c>
      <c r="C3156">
        <v>3</v>
      </c>
      <c r="D3156">
        <v>1066.5119999999999</v>
      </c>
    </row>
    <row r="3157" spans="1:4">
      <c r="A3157" t="str">
        <f>"28215-CG000"</f>
        <v>28215-CG000</v>
      </c>
      <c r="B3157" t="str">
        <f>"ANT ASSY PILLAR"</f>
        <v>ANT ASSY PILLAR</v>
      </c>
      <c r="C3157">
        <v>43</v>
      </c>
      <c r="D3157">
        <v>1091.3999999999999</v>
      </c>
    </row>
    <row r="3158" spans="1:4">
      <c r="A3158" t="str">
        <f>"28215-EB30A"</f>
        <v>28215-EB30A</v>
      </c>
      <c r="B3158" t="str">
        <f>"Шток антены"</f>
        <v>Шток антены</v>
      </c>
      <c r="C3158">
        <v>1</v>
      </c>
      <c r="D3158">
        <v>1088.5439999999999</v>
      </c>
    </row>
    <row r="3159" spans="1:4">
      <c r="A3159" t="str">
        <f>"28215-EY00A"</f>
        <v>28215-EY00A</v>
      </c>
      <c r="B3159" t="str">
        <f>"Шток антенны"</f>
        <v>Шток антенны</v>
      </c>
      <c r="C3159">
        <v>28</v>
      </c>
      <c r="D3159">
        <v>311.30400000000003</v>
      </c>
    </row>
    <row r="3160" spans="1:4">
      <c r="A3160" t="str">
        <f>"28215-JD000"</f>
        <v>28215-JD000</v>
      </c>
      <c r="B3160" t="str">
        <f>"Шток антенны"</f>
        <v>Шток антенны</v>
      </c>
      <c r="C3160">
        <v>9</v>
      </c>
      <c r="D3160">
        <v>472.87199999999996</v>
      </c>
    </row>
    <row r="3161" spans="1:4">
      <c r="A3161" t="str">
        <f>"28215-JG40B"</f>
        <v>28215-JG40B</v>
      </c>
      <c r="B3161" t="str">
        <f>"Шток антенны"</f>
        <v>Шток антенны</v>
      </c>
      <c r="C3161">
        <v>0</v>
      </c>
      <c r="D3161">
        <v>1200.336</v>
      </c>
    </row>
    <row r="3162" spans="1:4">
      <c r="A3162" t="str">
        <f>"28215-JG42A"</f>
        <v>28215-JG42A</v>
      </c>
      <c r="B3162" t="str">
        <f>"Шток антенны"</f>
        <v>Шток антенны</v>
      </c>
      <c r="C3162">
        <v>16</v>
      </c>
      <c r="D3162">
        <v>1191.768</v>
      </c>
    </row>
    <row r="3163" spans="1:4">
      <c r="A3163" t="str">
        <f>"28216-BA000"</f>
        <v>28216-BA000</v>
      </c>
      <c r="B3163" t="str">
        <f>"Шток антены"</f>
        <v>Шток антены</v>
      </c>
      <c r="C3163">
        <v>0</v>
      </c>
      <c r="D3163">
        <v>1729.5119999999999</v>
      </c>
    </row>
    <row r="3164" spans="1:4">
      <c r="A3164" t="str">
        <f>"28216-BC20A"</f>
        <v>28216-BC20A</v>
      </c>
      <c r="B3164" t="str">
        <f>"BASE-ANTENNA"</f>
        <v>BASE-ANTENNA</v>
      </c>
      <c r="C3164">
        <v>36</v>
      </c>
      <c r="D3164">
        <v>613.63199999999995</v>
      </c>
    </row>
    <row r="3165" spans="1:4">
      <c r="A3165" t="str">
        <f>"28217-31U10"</f>
        <v>28217-31U10</v>
      </c>
      <c r="B3165" t="str">
        <f>"SUPPORTER-ANTEN"</f>
        <v>SUPPORTER-ANTEN</v>
      </c>
      <c r="C3165">
        <v>1</v>
      </c>
      <c r="D3165">
        <v>250.10399999999998</v>
      </c>
    </row>
    <row r="3166" spans="1:4">
      <c r="A3166" t="str">
        <f>"28219-50Y05"</f>
        <v>28219-50Y05</v>
      </c>
      <c r="B3166" t="str">
        <f>"NUT"</f>
        <v>NUT</v>
      </c>
      <c r="C3166">
        <v>1</v>
      </c>
      <c r="D3166">
        <v>57.936</v>
      </c>
    </row>
    <row r="3167" spans="1:4">
      <c r="A3167" t="str">
        <f>"28268-5W50A"</f>
        <v>28268-5W50A</v>
      </c>
      <c r="B3167" t="str">
        <f>"Пульт управления сис"</f>
        <v>Пульт управления сис</v>
      </c>
      <c r="C3167">
        <v>3</v>
      </c>
      <c r="D3167">
        <v>3268.4879999999998</v>
      </c>
    </row>
    <row r="3168" spans="1:4">
      <c r="A3168" t="str">
        <f>"28268-8H700"</f>
        <v>28268-8H700</v>
      </c>
      <c r="B3168" t="str">
        <f>"SWITCH ASSY"</f>
        <v>SWITCH ASSY</v>
      </c>
      <c r="C3168">
        <v>11</v>
      </c>
      <c r="D3168">
        <v>3224.8319999999999</v>
      </c>
    </row>
    <row r="3169" spans="1:4">
      <c r="A3169" t="str">
        <f>"28268-9F904"</f>
        <v>28268-9F904</v>
      </c>
      <c r="B3169" t="str">
        <f>"CASE REMOTE SW"</f>
        <v>CASE REMOTE SW</v>
      </c>
      <c r="C3169">
        <v>2</v>
      </c>
      <c r="D3169">
        <v>285.59999999999997</v>
      </c>
    </row>
    <row r="3170" spans="1:4">
      <c r="A3170" t="str">
        <f>"28268-9F960"</f>
        <v>28268-9F960</v>
      </c>
      <c r="B3170" t="str">
        <f>"SWITCH ASSY-REM"</f>
        <v>SWITCH ASSY-REM</v>
      </c>
      <c r="C3170">
        <v>1</v>
      </c>
      <c r="D3170">
        <v>2020.0079999999998</v>
      </c>
    </row>
    <row r="3171" spans="1:4">
      <c r="A3171" t="str">
        <f>"28268-9F972"</f>
        <v>28268-9F972</v>
      </c>
      <c r="B3171" t="str">
        <f>"SWITCH ASSY-REM"</f>
        <v>SWITCH ASSY-REM</v>
      </c>
      <c r="C3171">
        <v>4</v>
      </c>
      <c r="D3171">
        <v>2328.864</v>
      </c>
    </row>
    <row r="3172" spans="1:4">
      <c r="A3172" t="str">
        <f>"28268-9F974"</f>
        <v>28268-9F974</v>
      </c>
      <c r="B3172" t="str">
        <f>"SWITCH ASSY-REM"</f>
        <v>SWITCH ASSY-REM</v>
      </c>
      <c r="C3172">
        <v>13</v>
      </c>
      <c r="D3172">
        <v>2062.848</v>
      </c>
    </row>
    <row r="3173" spans="1:4">
      <c r="A3173" t="str">
        <f>"28268-9Y80A"</f>
        <v>28268-9Y80A</v>
      </c>
      <c r="B3173" t="str">
        <f>"Пульт управления сис"</f>
        <v>Пульт управления сис</v>
      </c>
      <c r="C3173">
        <v>5</v>
      </c>
      <c r="D3173">
        <v>3514.5120000000002</v>
      </c>
    </row>
    <row r="3174" spans="1:4">
      <c r="A3174" t="str">
        <f>"28268-AV600"</f>
        <v>28268-AV600</v>
      </c>
      <c r="B3174" t="str">
        <f>"SWITCH ASSY-REM"</f>
        <v>SWITCH ASSY-REM</v>
      </c>
      <c r="C3174">
        <v>14</v>
      </c>
      <c r="D3174">
        <v>2088.1439999999998</v>
      </c>
    </row>
    <row r="3175" spans="1:4">
      <c r="A3175" t="str">
        <f>"28268-AX61A"</f>
        <v>28268-AX61A</v>
      </c>
      <c r="B3175" t="str">
        <f>"Пульт управления сис"</f>
        <v>Пульт управления сис</v>
      </c>
      <c r="C3175">
        <v>1</v>
      </c>
      <c r="D3175">
        <v>1937.5920000000001</v>
      </c>
    </row>
    <row r="3176" spans="1:4">
      <c r="A3176" t="str">
        <f>"28268-C990D"</f>
        <v>28268-C990D</v>
      </c>
      <c r="B3176" t="str">
        <f>"Пульт управления сис"</f>
        <v>Пульт управления сис</v>
      </c>
      <c r="C3176">
        <v>0</v>
      </c>
      <c r="D3176">
        <v>3622.2239999999997</v>
      </c>
    </row>
    <row r="3177" spans="1:4">
      <c r="A3177" t="str">
        <f>"28268-ZE10B"</f>
        <v>28268-ZE10B</v>
      </c>
      <c r="B3177" t="str">
        <f>"Переключатель охранн"</f>
        <v>Переключатель охранн</v>
      </c>
      <c r="C3177">
        <v>6</v>
      </c>
      <c r="D3177">
        <v>2677.7040000000002</v>
      </c>
    </row>
    <row r="3178" spans="1:4">
      <c r="A3178" t="str">
        <f>"28351-89902"</f>
        <v>28351-89902</v>
      </c>
      <c r="B3178" t="str">
        <f>"CONDENSOR-IGNIT"</f>
        <v>CONDENSOR-IGNIT</v>
      </c>
      <c r="C3178">
        <v>31</v>
      </c>
      <c r="D3178">
        <v>170.54400000000001</v>
      </c>
    </row>
    <row r="3179" spans="1:4">
      <c r="A3179" t="str">
        <f>"28474-8991B"</f>
        <v>28474-8991B</v>
      </c>
      <c r="B3179" t="str">
        <f>"Блок управления ламп"</f>
        <v>Блок управления ламп</v>
      </c>
      <c r="C3179">
        <v>12</v>
      </c>
      <c r="D3179">
        <v>9264.8639999999996</v>
      </c>
    </row>
    <row r="3180" spans="1:4">
      <c r="A3180" t="str">
        <f>"28474-JD00A"</f>
        <v>28474-JD00A</v>
      </c>
      <c r="B3180" t="str">
        <f>"Блок розжига ксенона"</f>
        <v>Блок розжига ксенона</v>
      </c>
      <c r="C3180">
        <v>10</v>
      </c>
      <c r="D3180">
        <v>7803.8159999999998</v>
      </c>
    </row>
    <row r="3181" spans="1:4">
      <c r="A3181" t="str">
        <f>"284B6-EB03B"</f>
        <v>284B6-EB03B</v>
      </c>
      <c r="B3181" t="str">
        <f>"Блок предохронителей"</f>
        <v>Блок предохронителей</v>
      </c>
      <c r="C3181">
        <v>2</v>
      </c>
      <c r="D3181">
        <v>4046.136</v>
      </c>
    </row>
    <row r="3182" spans="1:4">
      <c r="A3182" t="str">
        <f>"284B7-1AA0A"</f>
        <v>284B7-1AA0A</v>
      </c>
      <c r="B3182" t="str">
        <f>"Блок управления"</f>
        <v>Блок управления</v>
      </c>
      <c r="C3182">
        <v>3</v>
      </c>
      <c r="D3182">
        <v>5984.9520000000002</v>
      </c>
    </row>
    <row r="3183" spans="1:4">
      <c r="A3183" t="str">
        <f>"284B7-AX61A"</f>
        <v>284B7-AX61A</v>
      </c>
      <c r="B3183" t="str">
        <f>"Блок управления"</f>
        <v>Блок управления</v>
      </c>
      <c r="C3183">
        <v>2</v>
      </c>
      <c r="D3183">
        <v>4026.96</v>
      </c>
    </row>
    <row r="3184" spans="1:4">
      <c r="A3184" t="str">
        <f>"284B8-AX000"</f>
        <v>284B8-AX000</v>
      </c>
      <c r="B3184" t="str">
        <f>"COVER-USM"</f>
        <v>COVER-USM</v>
      </c>
      <c r="C3184">
        <v>5</v>
      </c>
      <c r="D3184">
        <v>676.05599999999993</v>
      </c>
    </row>
    <row r="3185" spans="1:4">
      <c r="A3185" t="str">
        <f>"284B8-BC40A"</f>
        <v>284B8-BC40A</v>
      </c>
      <c r="B3185" t="str">
        <f>"КРЫШКА"</f>
        <v>КРЫШКА</v>
      </c>
      <c r="C3185">
        <v>1</v>
      </c>
      <c r="D3185">
        <v>676.05599999999993</v>
      </c>
    </row>
    <row r="3186" spans="1:4">
      <c r="A3186" t="str">
        <f>"284B8-JD00A"</f>
        <v>284B8-JD00A</v>
      </c>
      <c r="B3186" t="str">
        <f>"Крышка блока рел"</f>
        <v>Крышка блока рел</v>
      </c>
      <c r="C3186">
        <v>7</v>
      </c>
      <c r="D3186">
        <v>1011.432</v>
      </c>
    </row>
    <row r="3187" spans="1:4">
      <c r="A3187" t="str">
        <f>"284B9-EW000"</f>
        <v>284B9-EW000</v>
      </c>
      <c r="B3187" t="str">
        <f>"Кожух блока предохра"</f>
        <v>Кожух блока предохра</v>
      </c>
      <c r="C3187">
        <v>13</v>
      </c>
      <c r="D3187">
        <v>891.07199999999989</v>
      </c>
    </row>
    <row r="3188" spans="1:4">
      <c r="A3188" t="str">
        <f>"284B9-JG01A"</f>
        <v>284B9-JG01A</v>
      </c>
      <c r="B3188" t="str">
        <f>"Кожух блока предохра"</f>
        <v>Кожух блока предохра</v>
      </c>
      <c r="C3188">
        <v>6</v>
      </c>
      <c r="D3188">
        <v>1221.144</v>
      </c>
    </row>
    <row r="3189" spans="1:4">
      <c r="A3189" t="str">
        <f>"28533-JD000"</f>
        <v>28533-JD000</v>
      </c>
      <c r="B3189" t="str">
        <f>"Крышка датчика парко"</f>
        <v>Крышка датчика парко</v>
      </c>
      <c r="C3189">
        <v>2</v>
      </c>
      <c r="D3189">
        <v>36.72</v>
      </c>
    </row>
    <row r="3190" spans="1:4">
      <c r="A3190" t="str">
        <f>"28533-JD010"</f>
        <v>28533-JD010</v>
      </c>
      <c r="B3190" t="str">
        <f>"Крышка датчика парко"</f>
        <v>Крышка датчика парко</v>
      </c>
      <c r="C3190">
        <v>2</v>
      </c>
      <c r="D3190">
        <v>44.879999999999995</v>
      </c>
    </row>
    <row r="3191" spans="1:4">
      <c r="A3191" t="str">
        <f>"28536-EB30C"</f>
        <v>28536-EB30C</v>
      </c>
      <c r="B3191" t="str">
        <f>"Датчик дождя"</f>
        <v>Датчик дождя</v>
      </c>
      <c r="C3191">
        <v>7</v>
      </c>
      <c r="D3191">
        <v>3521.0399999999995</v>
      </c>
    </row>
    <row r="3192" spans="1:4">
      <c r="A3192" t="str">
        <f>"28536-JG00B"</f>
        <v>28536-JG00B</v>
      </c>
      <c r="B3192" t="str">
        <f>"Датчик дождя"</f>
        <v>Датчик дождя</v>
      </c>
      <c r="C3192">
        <v>3</v>
      </c>
      <c r="D3192">
        <v>3585.096</v>
      </c>
    </row>
    <row r="3193" spans="1:4">
      <c r="A3193" t="str">
        <f>"28550-AV710"</f>
        <v>28550-AV710</v>
      </c>
      <c r="B3193" t="str">
        <f>"CONTROL ASSY-TI"</f>
        <v>CONTROL ASSY-TI</v>
      </c>
      <c r="C3193">
        <v>2</v>
      </c>
      <c r="D3193">
        <v>7176.72</v>
      </c>
    </row>
    <row r="3194" spans="1:4">
      <c r="A3194" t="str">
        <f>"28575-5M50B"</f>
        <v>28575-5M50B</v>
      </c>
      <c r="B3194" t="str">
        <f>"Блок управления свет"</f>
        <v>Блок управления свет</v>
      </c>
      <c r="C3194">
        <v>2</v>
      </c>
      <c r="D3194">
        <v>2933.9279999999999</v>
      </c>
    </row>
    <row r="3195" spans="1:4">
      <c r="A3195" t="str">
        <f>"28579-AX600"</f>
        <v>28579-AX600</v>
      </c>
      <c r="B3195" t="str">
        <f>"MASK-SENSOR"</f>
        <v>MASK-SENSOR</v>
      </c>
      <c r="C3195">
        <v>116</v>
      </c>
      <c r="D3195">
        <v>463.89599999999996</v>
      </c>
    </row>
    <row r="3196" spans="1:4">
      <c r="A3196" t="str">
        <f>"28590-95F0A"</f>
        <v>28590-95F0A</v>
      </c>
      <c r="B3196" t="str">
        <f>"Блок управления иммо"</f>
        <v>Блок управления иммо</v>
      </c>
      <c r="C3196">
        <v>9</v>
      </c>
      <c r="D3196">
        <v>2464.3199999999997</v>
      </c>
    </row>
    <row r="3197" spans="1:4">
      <c r="A3197" t="str">
        <f>"28590-C9902"</f>
        <v>28590-C9902</v>
      </c>
      <c r="B3197" t="str">
        <f>"CONTROL UNIT-IM"</f>
        <v>CONTROL UNIT-IM</v>
      </c>
      <c r="C3197">
        <v>11</v>
      </c>
      <c r="D3197">
        <v>2441.4719999999998</v>
      </c>
    </row>
    <row r="3198" spans="1:4">
      <c r="A3198" t="str">
        <f>"28590-C9965"</f>
        <v>28590-C9965</v>
      </c>
      <c r="B3198" t="str">
        <f>"CONTROL UNIT-IM"</f>
        <v>CONTROL UNIT-IM</v>
      </c>
      <c r="C3198">
        <v>15</v>
      </c>
      <c r="D3198">
        <v>2652</v>
      </c>
    </row>
    <row r="3199" spans="1:4">
      <c r="A3199" t="str">
        <f>"28599-9F971"</f>
        <v>28599-9F971</v>
      </c>
      <c r="B3199" t="str">
        <f>"BAT-ENTRY CARD"</f>
        <v>BAT-ENTRY CARD</v>
      </c>
      <c r="C3199">
        <v>0</v>
      </c>
      <c r="D3199">
        <v>235.82400000000001</v>
      </c>
    </row>
    <row r="3200" spans="1:4">
      <c r="A3200" t="str">
        <f>"285E3-1AN5B"</f>
        <v>285E3-1AN5B</v>
      </c>
      <c r="B3200" t="str">
        <f t="shared" ref="B3200:B3208" si="56">"Переключатель охранн"</f>
        <v>Переключатель охранн</v>
      </c>
      <c r="C3200">
        <v>2</v>
      </c>
      <c r="D3200">
        <v>3071.424</v>
      </c>
    </row>
    <row r="3201" spans="1:4">
      <c r="A3201" t="str">
        <f>"285E3-1BF0A"</f>
        <v>285E3-1BF0A</v>
      </c>
      <c r="B3201" t="str">
        <f t="shared" si="56"/>
        <v>Переключатель охранн</v>
      </c>
      <c r="C3201">
        <v>2</v>
      </c>
      <c r="D3201">
        <v>3227.28</v>
      </c>
    </row>
    <row r="3202" spans="1:4">
      <c r="A3202" t="str">
        <f>"285E3-1BF5A"</f>
        <v>285E3-1BF5A</v>
      </c>
      <c r="B3202" t="str">
        <f t="shared" si="56"/>
        <v>Переключатель охранн</v>
      </c>
      <c r="C3202">
        <v>7</v>
      </c>
      <c r="D3202">
        <v>3227.28</v>
      </c>
    </row>
    <row r="3203" spans="1:4">
      <c r="A3203" t="str">
        <f>"285E3-1BP5A"</f>
        <v>285E3-1BP5A</v>
      </c>
      <c r="B3203" t="str">
        <f t="shared" si="56"/>
        <v>Переключатель охранн</v>
      </c>
      <c r="C3203">
        <v>1</v>
      </c>
      <c r="D3203">
        <v>3266.4479999999999</v>
      </c>
    </row>
    <row r="3204" spans="1:4">
      <c r="A3204" t="str">
        <f>"285E3-1KA0D"</f>
        <v>285E3-1KA0D</v>
      </c>
      <c r="B3204" t="str">
        <f t="shared" si="56"/>
        <v>Переключатель охранн</v>
      </c>
      <c r="C3204">
        <v>3</v>
      </c>
      <c r="D3204">
        <v>3089.7840000000001</v>
      </c>
    </row>
    <row r="3205" spans="1:4">
      <c r="A3205" t="str">
        <f>"285E3-1LL1D"</f>
        <v>285E3-1LL1D</v>
      </c>
      <c r="B3205" t="str">
        <f t="shared" si="56"/>
        <v>Переключатель охранн</v>
      </c>
      <c r="C3205">
        <v>1</v>
      </c>
      <c r="D3205">
        <v>3219.12</v>
      </c>
    </row>
    <row r="3206" spans="1:4">
      <c r="A3206" t="str">
        <f>"285E3-1LP1D"</f>
        <v>285E3-1LP1D</v>
      </c>
      <c r="B3206" t="str">
        <f t="shared" si="56"/>
        <v>Переключатель охранн</v>
      </c>
      <c r="C3206">
        <v>2</v>
      </c>
      <c r="D3206">
        <v>2500.6320000000001</v>
      </c>
    </row>
    <row r="3207" spans="1:4">
      <c r="A3207" t="str">
        <f>"285E3-4X00A"</f>
        <v>285E3-4X00A</v>
      </c>
      <c r="B3207" t="str">
        <f t="shared" si="56"/>
        <v>Переключатель охранн</v>
      </c>
      <c r="C3207">
        <v>2</v>
      </c>
      <c r="D3207">
        <v>2017.9680000000001</v>
      </c>
    </row>
    <row r="3208" spans="1:4">
      <c r="A3208" t="str">
        <f>"285E3-9W54D"</f>
        <v>285E3-9W54D</v>
      </c>
      <c r="B3208" t="str">
        <f t="shared" si="56"/>
        <v>Переключатель охранн</v>
      </c>
      <c r="C3208">
        <v>12</v>
      </c>
      <c r="D3208">
        <v>3023.6879999999996</v>
      </c>
    </row>
    <row r="3209" spans="1:4">
      <c r="A3209" t="str">
        <f>"285E3-BC00A"</f>
        <v>285E3-BC00A</v>
      </c>
      <c r="B3209" t="str">
        <f>"Блок управления замк"</f>
        <v>Блок управления замк</v>
      </c>
      <c r="C3209">
        <v>0</v>
      </c>
      <c r="D3209">
        <v>2144.8560000000002</v>
      </c>
    </row>
    <row r="3210" spans="1:4">
      <c r="A3210" t="str">
        <f>"285E3-BC40A"</f>
        <v>285E3-BC40A</v>
      </c>
      <c r="B3210" t="str">
        <f>"Крышка блока управле"</f>
        <v>Крышка блока управле</v>
      </c>
      <c r="C3210">
        <v>3</v>
      </c>
      <c r="D3210">
        <v>221.54400000000001</v>
      </c>
    </row>
    <row r="3211" spans="1:4">
      <c r="A3211" t="str">
        <f>"285E3-CG025"</f>
        <v>285E3-CG025</v>
      </c>
      <c r="B3211" t="str">
        <f t="shared" ref="B3211:B3216" si="57">"Переключатель охранн"</f>
        <v>Переключатель охранн</v>
      </c>
      <c r="C3211">
        <v>11</v>
      </c>
      <c r="D3211">
        <v>3141.1919999999996</v>
      </c>
    </row>
    <row r="3212" spans="1:4">
      <c r="A3212" t="str">
        <f>"285E3-CL02D"</f>
        <v>285E3-CL02D</v>
      </c>
      <c r="B3212" t="str">
        <f t="shared" si="57"/>
        <v>Переключатель охранн</v>
      </c>
      <c r="C3212">
        <v>6</v>
      </c>
      <c r="D3212">
        <v>3083.6639999999998</v>
      </c>
    </row>
    <row r="3213" spans="1:4">
      <c r="A3213" t="str">
        <f>"285E3-CL81A"</f>
        <v>285E3-CL81A</v>
      </c>
      <c r="B3213" t="str">
        <f t="shared" si="57"/>
        <v>Переключатель охранн</v>
      </c>
      <c r="C3213">
        <v>21</v>
      </c>
      <c r="D3213">
        <v>3031.4399999999996</v>
      </c>
    </row>
    <row r="3214" spans="1:4">
      <c r="A3214" t="str">
        <f>"285E3-EJ21D"</f>
        <v>285E3-EJ21D</v>
      </c>
      <c r="B3214" t="str">
        <f t="shared" si="57"/>
        <v>Переключатель охранн</v>
      </c>
      <c r="C3214">
        <v>6</v>
      </c>
      <c r="D3214">
        <v>3239.52</v>
      </c>
    </row>
    <row r="3215" spans="1:4">
      <c r="A3215" t="str">
        <f>"285E3-JL32A"</f>
        <v>285E3-JL32A</v>
      </c>
      <c r="B3215" t="str">
        <f t="shared" si="57"/>
        <v>Переключатель охранн</v>
      </c>
      <c r="C3215">
        <v>7</v>
      </c>
      <c r="D3215">
        <v>3186.8879999999995</v>
      </c>
    </row>
    <row r="3216" spans="1:4">
      <c r="A3216" t="str">
        <f>"285E3-ZN70A"</f>
        <v>285E3-ZN70A</v>
      </c>
      <c r="B3216" t="str">
        <f t="shared" si="57"/>
        <v>Переключатель охранн</v>
      </c>
      <c r="C3216">
        <v>18</v>
      </c>
      <c r="D3216">
        <v>2288.4719999999998</v>
      </c>
    </row>
    <row r="3217" spans="1:4">
      <c r="A3217" t="str">
        <f>"285E4-JK60A"</f>
        <v>285E4-JK60A</v>
      </c>
      <c r="B3217" t="str">
        <f>"Шток антенны"</f>
        <v>Шток антенны</v>
      </c>
      <c r="C3217">
        <v>14</v>
      </c>
      <c r="D3217">
        <v>446.76</v>
      </c>
    </row>
    <row r="3218" spans="1:4">
      <c r="A3218" t="str">
        <f>"285E7-ED000"</f>
        <v>285E7-ED000</v>
      </c>
      <c r="B3218" t="str">
        <f>"Блок управления дист"</f>
        <v>Блок управления дист</v>
      </c>
      <c r="C3218">
        <v>3</v>
      </c>
      <c r="D3218">
        <v>798.86400000000003</v>
      </c>
    </row>
    <row r="3219" spans="1:4">
      <c r="A3219" t="str">
        <f>"28611-9U00A"</f>
        <v>28611-9U00A</v>
      </c>
      <c r="B3219" t="str">
        <f>"Форсунка омывателя ф"</f>
        <v>Форсунка омывателя ф</v>
      </c>
      <c r="C3219">
        <v>47</v>
      </c>
      <c r="D3219">
        <v>1585.4880000000001</v>
      </c>
    </row>
    <row r="3220" spans="1:4">
      <c r="A3220" t="str">
        <f>"28611-BH00A"</f>
        <v>28611-BH00A</v>
      </c>
      <c r="B3220" t="str">
        <f>"Форсунка омывате"</f>
        <v>Форсунка омывате</v>
      </c>
      <c r="C3220">
        <v>4</v>
      </c>
      <c r="D3220">
        <v>2903.7360000000003</v>
      </c>
    </row>
    <row r="3221" spans="1:4">
      <c r="A3221" t="str">
        <f>"28611-BR00A"</f>
        <v>28611-BR00A</v>
      </c>
      <c r="B3221" t="str">
        <f>"Форсунка омывателя ф"</f>
        <v>Форсунка омывателя ф</v>
      </c>
      <c r="C3221">
        <v>0</v>
      </c>
      <c r="D3221">
        <v>1709.5199999999998</v>
      </c>
    </row>
    <row r="3222" spans="1:4">
      <c r="A3222" t="str">
        <f>"28611-JD000"</f>
        <v>28611-JD000</v>
      </c>
      <c r="B3222" t="str">
        <f>"Форсунка омывателя ф"</f>
        <v>Форсунка омывателя ф</v>
      </c>
      <c r="C3222">
        <v>6</v>
      </c>
      <c r="D3222">
        <v>1188.5039999999999</v>
      </c>
    </row>
    <row r="3223" spans="1:4">
      <c r="A3223" t="str">
        <f>"28612-9U00A"</f>
        <v>28612-9U00A</v>
      </c>
      <c r="B3223" t="str">
        <f>"Насос-форсунка омыва"</f>
        <v>Насос-форсунка омыва</v>
      </c>
      <c r="C3223">
        <v>19</v>
      </c>
      <c r="D3223">
        <v>1521.4319999999998</v>
      </c>
    </row>
    <row r="3224" spans="1:4">
      <c r="A3224" t="str">
        <f>"28612-BH00A"</f>
        <v>28612-BH00A</v>
      </c>
      <c r="B3224" t="str">
        <f>"Насос-форсунка омыва"</f>
        <v>Насос-форсунка омыва</v>
      </c>
      <c r="C3224">
        <v>1</v>
      </c>
      <c r="D3224">
        <v>2829.0719999999997</v>
      </c>
    </row>
    <row r="3225" spans="1:4">
      <c r="A3225" t="str">
        <f>"28612-BR00A"</f>
        <v>28612-BR00A</v>
      </c>
      <c r="B3225" t="str">
        <f>"Насос-форсунка омыва"</f>
        <v>Насос-форсунка омыва</v>
      </c>
      <c r="C3225">
        <v>1</v>
      </c>
      <c r="D3225">
        <v>1701.36</v>
      </c>
    </row>
    <row r="3226" spans="1:4">
      <c r="A3226" t="str">
        <f>"28612-JD000"</f>
        <v>28612-JD000</v>
      </c>
      <c r="B3226" t="str">
        <f>"Насос-форсунка омыва"</f>
        <v>Насос-форсунка омыва</v>
      </c>
      <c r="C3226">
        <v>41</v>
      </c>
      <c r="D3226">
        <v>1188.5039999999999</v>
      </c>
    </row>
    <row r="3227" spans="1:4">
      <c r="A3227" t="str">
        <f>"28616-VB200"</f>
        <v>28616-VB200</v>
      </c>
      <c r="B3227" t="str">
        <f>"WIPER ASSY"</f>
        <v>WIPER ASSY</v>
      </c>
      <c r="C3227">
        <v>9</v>
      </c>
      <c r="D3227">
        <v>1989.816</v>
      </c>
    </row>
    <row r="3228" spans="1:4">
      <c r="A3228" t="str">
        <f>"28618-VB200"</f>
        <v>28618-VB200</v>
      </c>
      <c r="B3228" t="str">
        <f>"WIPER ASSY"</f>
        <v>WIPER ASSY</v>
      </c>
      <c r="C3228">
        <v>4</v>
      </c>
      <c r="D3228">
        <v>2006.136</v>
      </c>
    </row>
    <row r="3229" spans="1:4">
      <c r="A3229" t="str">
        <f>"28621-3Y700"</f>
        <v>28621-3Y700</v>
      </c>
      <c r="B3229" t="str">
        <f>"PUMP ASSY"</f>
        <v>PUMP ASSY</v>
      </c>
      <c r="C3229">
        <v>18</v>
      </c>
      <c r="D3229">
        <v>3614.4719999999998</v>
      </c>
    </row>
    <row r="3230" spans="1:4">
      <c r="A3230" t="str">
        <f>"28621-CC000"</f>
        <v>28621-CC000</v>
      </c>
      <c r="B3230" t="str">
        <f>"Насос омывателя фары"</f>
        <v>Насос омывателя фары</v>
      </c>
      <c r="C3230">
        <v>5</v>
      </c>
      <c r="D3230">
        <v>1004.088</v>
      </c>
    </row>
    <row r="3231" spans="1:4">
      <c r="A3231" t="str">
        <f>"28621-EW70A"</f>
        <v>28621-EW70A</v>
      </c>
      <c r="B3231" t="str">
        <f>"Насос омывателя фары"</f>
        <v>Насос омывателя фары</v>
      </c>
      <c r="C3231">
        <v>5</v>
      </c>
      <c r="D3231">
        <v>6618.5759999999991</v>
      </c>
    </row>
    <row r="3232" spans="1:4">
      <c r="A3232" t="str">
        <f>"28621-VC800"</f>
        <v>28621-VC800</v>
      </c>
      <c r="B3232" t="str">
        <f>"PUMP ASSY"</f>
        <v>PUMP ASSY</v>
      </c>
      <c r="C3232">
        <v>3</v>
      </c>
      <c r="D3232">
        <v>3748.2959999999998</v>
      </c>
    </row>
    <row r="3233" spans="1:4">
      <c r="A3233" t="str">
        <f>"28621-VK400"</f>
        <v>28621-VK400</v>
      </c>
      <c r="B3233" t="str">
        <f>"Насос омывателя фары"</f>
        <v>Насос омывателя фары</v>
      </c>
      <c r="C3233">
        <v>6</v>
      </c>
      <c r="D3233">
        <v>3593.6639999999998</v>
      </c>
    </row>
    <row r="3234" spans="1:4">
      <c r="A3234" t="str">
        <f>"28626-8H90A"</f>
        <v>28626-8H90A</v>
      </c>
      <c r="B3234" t="str">
        <f>"Фиксатор форсунки ом"</f>
        <v>Фиксатор форсунки ом</v>
      </c>
      <c r="C3234">
        <v>35</v>
      </c>
      <c r="D3234">
        <v>150.14400000000001</v>
      </c>
    </row>
    <row r="3235" spans="1:4">
      <c r="A3235" t="str">
        <f>"28626-VD20A"</f>
        <v>28626-VD20A</v>
      </c>
      <c r="B3235" t="str">
        <f>"Держатель шланга омы"</f>
        <v>Держатель шланга омы</v>
      </c>
      <c r="C3235">
        <v>2</v>
      </c>
      <c r="D3235">
        <v>144.84</v>
      </c>
    </row>
    <row r="3236" spans="1:4">
      <c r="A3236" t="str">
        <f>"28628-EQ000"</f>
        <v>28628-EQ000</v>
      </c>
      <c r="B3236" t="str">
        <f>"Клапан омывателя"</f>
        <v>Клапан омывателя</v>
      </c>
      <c r="C3236">
        <v>4</v>
      </c>
      <c r="D3236">
        <v>514.07999999999993</v>
      </c>
    </row>
    <row r="3237" spans="1:4">
      <c r="A3237" t="str">
        <f>"28628-V4400"</f>
        <v>28628-V4400</v>
      </c>
      <c r="B3237" t="str">
        <f>"VALVE ASSY-CHEC"</f>
        <v>VALVE ASSY-CHEC</v>
      </c>
      <c r="C3237">
        <v>18</v>
      </c>
      <c r="D3237">
        <v>495.72</v>
      </c>
    </row>
    <row r="3238" spans="1:4">
      <c r="A3238" t="str">
        <f>"28641-1AN0A"</f>
        <v>28641-1AN0A</v>
      </c>
      <c r="B3238" t="str">
        <f t="shared" ref="B3238:B3248" si="58">"Форсунка омывателя ф"</f>
        <v>Форсунка омывателя ф</v>
      </c>
      <c r="C3238">
        <v>0</v>
      </c>
      <c r="D3238">
        <v>2156.6880000000001</v>
      </c>
    </row>
    <row r="3239" spans="1:4">
      <c r="A3239" t="str">
        <f>"28641-1BF0A"</f>
        <v>28641-1BF0A</v>
      </c>
      <c r="B3239" t="str">
        <f t="shared" si="58"/>
        <v>Форсунка омывателя ф</v>
      </c>
      <c r="C3239">
        <v>9</v>
      </c>
      <c r="D3239">
        <v>3214.6320000000001</v>
      </c>
    </row>
    <row r="3240" spans="1:4">
      <c r="A3240" t="str">
        <f>"28641-1CJ0A"</f>
        <v>28641-1CJ0A</v>
      </c>
      <c r="B3240" t="str">
        <f t="shared" si="58"/>
        <v>Форсунка омывателя ф</v>
      </c>
      <c r="C3240">
        <v>6</v>
      </c>
      <c r="D3240">
        <v>3687.5039999999999</v>
      </c>
    </row>
    <row r="3241" spans="1:4">
      <c r="A3241" t="str">
        <f>"28641-3Y70C"</f>
        <v>28641-3Y70C</v>
      </c>
      <c r="B3241" t="str">
        <f t="shared" si="58"/>
        <v>Форсунка омывателя ф</v>
      </c>
      <c r="C3241">
        <v>7</v>
      </c>
      <c r="D3241">
        <v>2078.7599999999998</v>
      </c>
    </row>
    <row r="3242" spans="1:4">
      <c r="A3242" t="str">
        <f>"28641-3Y74C"</f>
        <v>28641-3Y74C</v>
      </c>
      <c r="B3242" t="str">
        <f t="shared" si="58"/>
        <v>Форсунка омывателя ф</v>
      </c>
      <c r="C3242">
        <v>10</v>
      </c>
      <c r="D3242">
        <v>2111.4</v>
      </c>
    </row>
    <row r="3243" spans="1:4">
      <c r="A3243" t="str">
        <f>"28641-3Y76C"</f>
        <v>28641-3Y76C</v>
      </c>
      <c r="B3243" t="str">
        <f t="shared" si="58"/>
        <v>Форсунка омывателя ф</v>
      </c>
      <c r="C3243">
        <v>2</v>
      </c>
      <c r="D3243">
        <v>2111.4</v>
      </c>
    </row>
    <row r="3244" spans="1:4">
      <c r="A3244" t="str">
        <f>"28641-3Y76D"</f>
        <v>28641-3Y76D</v>
      </c>
      <c r="B3244" t="str">
        <f t="shared" si="58"/>
        <v>Форсунка омывателя ф</v>
      </c>
      <c r="C3244">
        <v>6</v>
      </c>
      <c r="D3244">
        <v>2136.288</v>
      </c>
    </row>
    <row r="3245" spans="1:4">
      <c r="A3245" t="str">
        <f>"28641-3Y78D"</f>
        <v>28641-3Y78D</v>
      </c>
      <c r="B3245" t="str">
        <f t="shared" si="58"/>
        <v>Форсунка омывателя ф</v>
      </c>
      <c r="C3245">
        <v>7</v>
      </c>
      <c r="D3245">
        <v>2134.248</v>
      </c>
    </row>
    <row r="3246" spans="1:4">
      <c r="A3246" t="str">
        <f>"28641-3Y79D"</f>
        <v>28641-3Y79D</v>
      </c>
      <c r="B3246" t="str">
        <f t="shared" si="58"/>
        <v>Форсунка омывателя ф</v>
      </c>
      <c r="C3246">
        <v>0</v>
      </c>
      <c r="D3246">
        <v>2134.248</v>
      </c>
    </row>
    <row r="3247" spans="1:4">
      <c r="A3247" t="str">
        <f>"28641-5X20A"</f>
        <v>28641-5X20A</v>
      </c>
      <c r="B3247" t="str">
        <f t="shared" si="58"/>
        <v>Форсунка омывателя ф</v>
      </c>
      <c r="C3247">
        <v>0</v>
      </c>
      <c r="D3247">
        <v>2430.0479999999998</v>
      </c>
    </row>
    <row r="3248" spans="1:4">
      <c r="A3248" t="str">
        <f>"28641-8H90A"</f>
        <v>28641-8H90A</v>
      </c>
      <c r="B3248" t="str">
        <f t="shared" si="58"/>
        <v>Форсунка омывателя ф</v>
      </c>
      <c r="C3248">
        <v>14</v>
      </c>
      <c r="D3248">
        <v>897.19199999999989</v>
      </c>
    </row>
    <row r="3249" spans="1:4">
      <c r="A3249" t="str">
        <f>"28641-9F911"</f>
        <v>28641-9F911</v>
      </c>
      <c r="B3249" t="str">
        <f>"NOZZLE ASSY-HEA"</f>
        <v>NOZZLE ASSY-HEA</v>
      </c>
      <c r="C3249">
        <v>7</v>
      </c>
      <c r="D3249">
        <v>912.28800000000001</v>
      </c>
    </row>
    <row r="3250" spans="1:4">
      <c r="A3250" t="str">
        <f>"28641-9W50A"</f>
        <v>28641-9W50A</v>
      </c>
      <c r="B3250" t="str">
        <f>"Форсунка омывателя ф"</f>
        <v>Форсунка омывателя ф</v>
      </c>
      <c r="C3250">
        <v>2</v>
      </c>
      <c r="D3250">
        <v>2617.3199999999997</v>
      </c>
    </row>
    <row r="3251" spans="1:4">
      <c r="A3251" t="str">
        <f>"28641-AU300"</f>
        <v>28641-AU300</v>
      </c>
      <c r="B3251" t="str">
        <f>"NOZZLE ASSY-HEA"</f>
        <v>NOZZLE ASSY-HEA</v>
      </c>
      <c r="C3251">
        <v>33</v>
      </c>
      <c r="D3251">
        <v>912.69600000000003</v>
      </c>
    </row>
    <row r="3252" spans="1:4">
      <c r="A3252" t="str">
        <f>"28641-AX600"</f>
        <v>28641-AX600</v>
      </c>
      <c r="B3252" t="str">
        <f>"NOZZLE ASSY-HEA"</f>
        <v>NOZZLE ASSY-HEA</v>
      </c>
      <c r="C3252">
        <v>14</v>
      </c>
      <c r="D3252">
        <v>977.15999999999985</v>
      </c>
    </row>
    <row r="3253" spans="1:4">
      <c r="A3253" t="str">
        <f>"28641-BN500"</f>
        <v>28641-BN500</v>
      </c>
      <c r="B3253" t="str">
        <f>"NOZZLE ASSY-HEA"</f>
        <v>NOZZLE ASSY-HEA</v>
      </c>
      <c r="C3253">
        <v>0</v>
      </c>
      <c r="D3253">
        <v>920.04000000000008</v>
      </c>
    </row>
    <row r="3254" spans="1:4">
      <c r="A3254" t="str">
        <f>"28641-CC00A"</f>
        <v>28641-CC00A</v>
      </c>
      <c r="B3254" t="str">
        <f>"Форсунка омывателя ф"</f>
        <v>Форсунка омывателя ф</v>
      </c>
      <c r="C3254">
        <v>3</v>
      </c>
      <c r="D3254">
        <v>2154.6479999999997</v>
      </c>
    </row>
    <row r="3255" spans="1:4">
      <c r="A3255" t="str">
        <f>"28641-CM80A"</f>
        <v>28641-CM80A</v>
      </c>
      <c r="B3255" t="str">
        <f>"Форсунка омывателя ф"</f>
        <v>Форсунка омывателя ф</v>
      </c>
      <c r="C3255">
        <v>6</v>
      </c>
      <c r="D3255">
        <v>3176.28</v>
      </c>
    </row>
    <row r="3256" spans="1:4">
      <c r="A3256" t="str">
        <f>"28641-EB300"</f>
        <v>28641-EB300</v>
      </c>
      <c r="B3256" t="str">
        <f>"NOZZLE ASSY-HEA"</f>
        <v>NOZZLE ASSY-HEA</v>
      </c>
      <c r="C3256">
        <v>11</v>
      </c>
      <c r="D3256">
        <v>2431.6799999999998</v>
      </c>
    </row>
    <row r="3257" spans="1:4">
      <c r="A3257" t="str">
        <f>"28641-EJ21A"</f>
        <v>28641-EJ21A</v>
      </c>
      <c r="B3257" t="str">
        <f t="shared" ref="B3257:B3268" si="59">"Форсунка омывателя ф"</f>
        <v>Форсунка омывателя ф</v>
      </c>
      <c r="C3257">
        <v>15</v>
      </c>
      <c r="D3257">
        <v>3541.0320000000002</v>
      </c>
    </row>
    <row r="3258" spans="1:4">
      <c r="A3258" t="str">
        <f>"28641-EM30A"</f>
        <v>28641-EM30A</v>
      </c>
      <c r="B3258" t="str">
        <f t="shared" si="59"/>
        <v>Форсунка омывателя ф</v>
      </c>
      <c r="C3258">
        <v>0</v>
      </c>
      <c r="D3258">
        <v>2411.2800000000002</v>
      </c>
    </row>
    <row r="3259" spans="1:4">
      <c r="A3259" t="str">
        <f>"28641-EQ00A"</f>
        <v>28641-EQ00A</v>
      </c>
      <c r="B3259" t="str">
        <f t="shared" si="59"/>
        <v>Форсунка омывателя ф</v>
      </c>
      <c r="C3259">
        <v>53</v>
      </c>
      <c r="D3259">
        <v>870.26400000000001</v>
      </c>
    </row>
    <row r="3260" spans="1:4">
      <c r="A3260" t="str">
        <f>"28641-JG40A"</f>
        <v>28641-JG40A</v>
      </c>
      <c r="B3260" t="str">
        <f t="shared" si="59"/>
        <v>Форсунка омывателя ф</v>
      </c>
      <c r="C3260">
        <v>0</v>
      </c>
      <c r="D3260">
        <v>1778.88</v>
      </c>
    </row>
    <row r="3261" spans="1:4">
      <c r="A3261" t="str">
        <f>"28641-JG40B"</f>
        <v>28641-JG40B</v>
      </c>
      <c r="B3261" t="str">
        <f t="shared" si="59"/>
        <v>Форсунка омывателя ф</v>
      </c>
      <c r="C3261">
        <v>0</v>
      </c>
      <c r="D3261">
        <v>1761.336</v>
      </c>
    </row>
    <row r="3262" spans="1:4">
      <c r="A3262" t="str">
        <f>"28641-JG40D"</f>
        <v>28641-JG40D</v>
      </c>
      <c r="B3262" t="str">
        <f t="shared" si="59"/>
        <v>Форсунка омывателя ф</v>
      </c>
      <c r="C3262">
        <v>16</v>
      </c>
      <c r="D3262">
        <v>1782.9599999999998</v>
      </c>
    </row>
    <row r="3263" spans="1:4">
      <c r="A3263" t="str">
        <f>"28641-JG40E"</f>
        <v>28641-JG40E</v>
      </c>
      <c r="B3263" t="str">
        <f t="shared" si="59"/>
        <v>Форсунка омывателя ф</v>
      </c>
      <c r="C3263">
        <v>1</v>
      </c>
      <c r="D3263">
        <v>1797.6479999999999</v>
      </c>
    </row>
    <row r="3264" spans="1:4">
      <c r="A3264" t="str">
        <f>"28641-JG41A"</f>
        <v>28641-JG41A</v>
      </c>
      <c r="B3264" t="str">
        <f t="shared" si="59"/>
        <v>Форсунка омывателя ф</v>
      </c>
      <c r="C3264">
        <v>13</v>
      </c>
      <c r="D3264">
        <v>1797.6479999999999</v>
      </c>
    </row>
    <row r="3265" spans="1:4">
      <c r="A3265" t="str">
        <f>"28641-JG41C"</f>
        <v>28641-JG41C</v>
      </c>
      <c r="B3265" t="str">
        <f t="shared" si="59"/>
        <v>Форсунка омывателя ф</v>
      </c>
      <c r="C3265">
        <v>4</v>
      </c>
      <c r="D3265">
        <v>1774.8</v>
      </c>
    </row>
    <row r="3266" spans="1:4">
      <c r="A3266" t="str">
        <f>"28641-JG41D"</f>
        <v>28641-JG41D</v>
      </c>
      <c r="B3266" t="str">
        <f t="shared" si="59"/>
        <v>Форсунка омывателя ф</v>
      </c>
      <c r="C3266">
        <v>19</v>
      </c>
      <c r="D3266">
        <v>1767.864</v>
      </c>
    </row>
    <row r="3267" spans="1:4">
      <c r="A3267" t="str">
        <f>"28641-JL30A"</f>
        <v>28641-JL30A</v>
      </c>
      <c r="B3267" t="str">
        <f t="shared" si="59"/>
        <v>Форсунка омывателя ф</v>
      </c>
      <c r="C3267">
        <v>2</v>
      </c>
      <c r="D3267">
        <v>3415.3679999999999</v>
      </c>
    </row>
    <row r="3268" spans="1:4">
      <c r="A3268" t="str">
        <f>"28641-JN00A"</f>
        <v>28641-JN00A</v>
      </c>
      <c r="B3268" t="str">
        <f t="shared" si="59"/>
        <v>Форсунка омывателя ф</v>
      </c>
      <c r="C3268">
        <v>17</v>
      </c>
      <c r="D3268">
        <v>4326.4319999999998</v>
      </c>
    </row>
    <row r="3269" spans="1:4">
      <c r="A3269" t="str">
        <f>"28641-VC800"</f>
        <v>28641-VC800</v>
      </c>
      <c r="B3269" t="str">
        <f>"NOZZLE ASSY"</f>
        <v>NOZZLE ASSY</v>
      </c>
      <c r="C3269">
        <v>1</v>
      </c>
      <c r="D3269">
        <v>2261.136</v>
      </c>
    </row>
    <row r="3270" spans="1:4">
      <c r="A3270" t="str">
        <f>"28641-VD200"</f>
        <v>28641-VD200</v>
      </c>
      <c r="B3270" t="str">
        <f>"NOZZLE ASSY"</f>
        <v>NOZZLE ASSY</v>
      </c>
      <c r="C3270">
        <v>9</v>
      </c>
      <c r="D3270">
        <v>2064.48</v>
      </c>
    </row>
    <row r="3271" spans="1:4">
      <c r="A3271" t="str">
        <f>"28642-1AN0A"</f>
        <v>28642-1AN0A</v>
      </c>
      <c r="B3271" t="str">
        <f t="shared" ref="B3271:B3280" si="60">"Форсунка омывателя ф"</f>
        <v>Форсунка омывателя ф</v>
      </c>
      <c r="C3271">
        <v>1</v>
      </c>
      <c r="D3271">
        <v>2063.2559999999999</v>
      </c>
    </row>
    <row r="3272" spans="1:4">
      <c r="A3272" t="str">
        <f>"28642-1BF0A"</f>
        <v>28642-1BF0A</v>
      </c>
      <c r="B3272" t="str">
        <f t="shared" si="60"/>
        <v>Форсунка омывателя ф</v>
      </c>
      <c r="C3272">
        <v>9</v>
      </c>
      <c r="D3272">
        <v>3193.4159999999997</v>
      </c>
    </row>
    <row r="3273" spans="1:4">
      <c r="A3273" t="str">
        <f>"28642-1CJ0A"</f>
        <v>28642-1CJ0A</v>
      </c>
      <c r="B3273" t="str">
        <f t="shared" si="60"/>
        <v>Форсунка омывателя ф</v>
      </c>
      <c r="C3273">
        <v>4</v>
      </c>
      <c r="D3273">
        <v>3789.9120000000003</v>
      </c>
    </row>
    <row r="3274" spans="1:4">
      <c r="A3274" t="str">
        <f>"28642-3Y70C"</f>
        <v>28642-3Y70C</v>
      </c>
      <c r="B3274" t="str">
        <f t="shared" si="60"/>
        <v>Форсунка омывателя ф</v>
      </c>
      <c r="C3274">
        <v>7</v>
      </c>
      <c r="D3274">
        <v>2059.1759999999999</v>
      </c>
    </row>
    <row r="3275" spans="1:4">
      <c r="A3275" t="str">
        <f>"28642-3Y74C"</f>
        <v>28642-3Y74C</v>
      </c>
      <c r="B3275" t="str">
        <f t="shared" si="60"/>
        <v>Форсунка омывателя ф</v>
      </c>
      <c r="C3275">
        <v>4</v>
      </c>
      <c r="D3275">
        <v>2071.0079999999998</v>
      </c>
    </row>
    <row r="3276" spans="1:4">
      <c r="A3276" t="str">
        <f>"28642-3Y75C"</f>
        <v>28642-3Y75C</v>
      </c>
      <c r="B3276" t="str">
        <f t="shared" si="60"/>
        <v>Форсунка омывателя ф</v>
      </c>
      <c r="C3276">
        <v>4</v>
      </c>
      <c r="D3276">
        <v>2148.9359999999997</v>
      </c>
    </row>
    <row r="3277" spans="1:4">
      <c r="A3277" t="str">
        <f>"28642-3Y76C"</f>
        <v>28642-3Y76C</v>
      </c>
      <c r="B3277" t="str">
        <f t="shared" si="60"/>
        <v>Форсунка омывателя ф</v>
      </c>
      <c r="C3277">
        <v>2</v>
      </c>
      <c r="D3277">
        <v>2034.288</v>
      </c>
    </row>
    <row r="3278" spans="1:4">
      <c r="A3278" t="str">
        <f>"28642-3Y76D"</f>
        <v>28642-3Y76D</v>
      </c>
      <c r="B3278" t="str">
        <f t="shared" si="60"/>
        <v>Форсунка омывателя ф</v>
      </c>
      <c r="C3278">
        <v>1</v>
      </c>
      <c r="D3278">
        <v>2065.2959999999998</v>
      </c>
    </row>
    <row r="3279" spans="1:4">
      <c r="A3279" t="str">
        <f>"28642-3Y79D"</f>
        <v>28642-3Y79D</v>
      </c>
      <c r="B3279" t="str">
        <f t="shared" si="60"/>
        <v>Форсунка омывателя ф</v>
      </c>
      <c r="C3279">
        <v>5</v>
      </c>
      <c r="D3279">
        <v>2134.248</v>
      </c>
    </row>
    <row r="3280" spans="1:4">
      <c r="A3280" t="str">
        <f>"28642-5X20A"</f>
        <v>28642-5X20A</v>
      </c>
      <c r="B3280" t="str">
        <f t="shared" si="60"/>
        <v>Форсунка омывателя ф</v>
      </c>
      <c r="C3280">
        <v>8</v>
      </c>
      <c r="D3280">
        <v>2297.8560000000002</v>
      </c>
    </row>
    <row r="3281" spans="1:4">
      <c r="A3281" t="str">
        <f>"28642-9F911"</f>
        <v>28642-9F911</v>
      </c>
      <c r="B3281" t="str">
        <f>"NOZZLE ASSY-HEA"</f>
        <v>NOZZLE ASSY-HEA</v>
      </c>
      <c r="C3281">
        <v>8</v>
      </c>
      <c r="D3281">
        <v>909.024</v>
      </c>
    </row>
    <row r="3282" spans="1:4">
      <c r="A3282" t="str">
        <f>"28642-9W50A"</f>
        <v>28642-9W50A</v>
      </c>
      <c r="B3282" t="str">
        <f>"Форсунка омывателя ф"</f>
        <v>Форсунка омывателя ф</v>
      </c>
      <c r="C3282">
        <v>27</v>
      </c>
      <c r="D3282">
        <v>2639.3519999999999</v>
      </c>
    </row>
    <row r="3283" spans="1:4">
      <c r="A3283" t="str">
        <f>"28642-AU300"</f>
        <v>28642-AU300</v>
      </c>
      <c r="B3283" t="str">
        <f>"NOZZLE ASSY-HEA"</f>
        <v>NOZZLE ASSY-HEA</v>
      </c>
      <c r="C3283">
        <v>15</v>
      </c>
      <c r="D3283">
        <v>959.61599999999987</v>
      </c>
    </row>
    <row r="3284" spans="1:4">
      <c r="A3284" t="str">
        <f>"28642-BN500"</f>
        <v>28642-BN500</v>
      </c>
      <c r="B3284" t="str">
        <f>"NOZZLE ASSY-HEA"</f>
        <v>NOZZLE ASSY-HEA</v>
      </c>
      <c r="C3284">
        <v>0</v>
      </c>
      <c r="D3284">
        <v>1490.8319999999999</v>
      </c>
    </row>
    <row r="3285" spans="1:4">
      <c r="A3285" t="str">
        <f>"28642-CC00A"</f>
        <v>28642-CC00A</v>
      </c>
      <c r="B3285" t="str">
        <f>"Форсунка омывателя ф"</f>
        <v>Форсунка омывателя ф</v>
      </c>
      <c r="C3285">
        <v>18</v>
      </c>
      <c r="D3285">
        <v>2098.3439999999996</v>
      </c>
    </row>
    <row r="3286" spans="1:4">
      <c r="A3286" t="str">
        <f>"28642-CM80A"</f>
        <v>28642-CM80A</v>
      </c>
      <c r="B3286" t="str">
        <f>"Форсунка омывателя ф"</f>
        <v>Форсунка омывателя ф</v>
      </c>
      <c r="C3286">
        <v>12</v>
      </c>
      <c r="D3286">
        <v>3309.2879999999996</v>
      </c>
    </row>
    <row r="3287" spans="1:4">
      <c r="A3287" t="str">
        <f>"28642-EB300"</f>
        <v>28642-EB300</v>
      </c>
      <c r="B3287" t="str">
        <f>"NOZZLE ASSY-HEA"</f>
        <v>NOZZLE ASSY-HEA</v>
      </c>
      <c r="C3287">
        <v>22</v>
      </c>
      <c r="D3287">
        <v>2267.6639999999998</v>
      </c>
    </row>
    <row r="3288" spans="1:4">
      <c r="A3288" t="str">
        <f>"28642-EJ21A"</f>
        <v>28642-EJ21A</v>
      </c>
      <c r="B3288" t="str">
        <f t="shared" ref="B3288:B3299" si="61">"Форсунка омывателя ф"</f>
        <v>Форсунка омывателя ф</v>
      </c>
      <c r="C3288">
        <v>8</v>
      </c>
      <c r="D3288">
        <v>3540.2159999999999</v>
      </c>
    </row>
    <row r="3289" spans="1:4">
      <c r="A3289" t="str">
        <f>"28642-EJ70A"</f>
        <v>28642-EJ70A</v>
      </c>
      <c r="B3289" t="str">
        <f t="shared" si="61"/>
        <v>Форсунка омывателя ф</v>
      </c>
      <c r="C3289">
        <v>5</v>
      </c>
      <c r="D3289">
        <v>3220.752</v>
      </c>
    </row>
    <row r="3290" spans="1:4">
      <c r="A3290" t="str">
        <f>"28642-EM30A"</f>
        <v>28642-EM30A</v>
      </c>
      <c r="B3290" t="str">
        <f t="shared" si="61"/>
        <v>Форсунка омывателя ф</v>
      </c>
      <c r="C3290">
        <v>45</v>
      </c>
      <c r="D3290">
        <v>2266.44</v>
      </c>
    </row>
    <row r="3291" spans="1:4">
      <c r="A3291" t="str">
        <f>"28642-JG40A"</f>
        <v>28642-JG40A</v>
      </c>
      <c r="B3291" t="str">
        <f t="shared" si="61"/>
        <v>Форсунка омывателя ф</v>
      </c>
      <c r="C3291">
        <v>1</v>
      </c>
      <c r="D3291">
        <v>1711.152</v>
      </c>
    </row>
    <row r="3292" spans="1:4">
      <c r="A3292" t="str">
        <f>"28642-JG40B"</f>
        <v>28642-JG40B</v>
      </c>
      <c r="B3292" t="str">
        <f t="shared" si="61"/>
        <v>Форсунка омывателя ф</v>
      </c>
      <c r="C3292">
        <v>11</v>
      </c>
      <c r="D3292">
        <v>1770.7199999999998</v>
      </c>
    </row>
    <row r="3293" spans="1:4">
      <c r="A3293" t="str">
        <f>"28642-JG40D"</f>
        <v>28642-JG40D</v>
      </c>
      <c r="B3293" t="str">
        <f t="shared" si="61"/>
        <v>Форсунка омывателя ф</v>
      </c>
      <c r="C3293">
        <v>0</v>
      </c>
      <c r="D3293">
        <v>1760.1119999999999</v>
      </c>
    </row>
    <row r="3294" spans="1:4">
      <c r="A3294" t="str">
        <f>"28642-JG40E"</f>
        <v>28642-JG40E</v>
      </c>
      <c r="B3294" t="str">
        <f t="shared" si="61"/>
        <v>Форсунка омывателя ф</v>
      </c>
      <c r="C3294">
        <v>11</v>
      </c>
      <c r="D3294">
        <v>1792.752</v>
      </c>
    </row>
    <row r="3295" spans="1:4">
      <c r="A3295" t="str">
        <f>"28642-JG41A"</f>
        <v>28642-JG41A</v>
      </c>
      <c r="B3295" t="str">
        <f t="shared" si="61"/>
        <v>Форсунка омывателя ф</v>
      </c>
      <c r="C3295">
        <v>7</v>
      </c>
      <c r="D3295">
        <v>1756.848</v>
      </c>
    </row>
    <row r="3296" spans="1:4">
      <c r="A3296" t="str">
        <f>"28642-JG41C"</f>
        <v>28642-JG41C</v>
      </c>
      <c r="B3296" t="str">
        <f t="shared" si="61"/>
        <v>Форсунка омывателя ф</v>
      </c>
      <c r="C3296">
        <v>1</v>
      </c>
      <c r="D3296">
        <v>1761.336</v>
      </c>
    </row>
    <row r="3297" spans="1:4">
      <c r="A3297" t="str">
        <f>"28642-JG41D"</f>
        <v>28642-JG41D</v>
      </c>
      <c r="B3297" t="str">
        <f t="shared" si="61"/>
        <v>Форсунка омывателя ф</v>
      </c>
      <c r="C3297">
        <v>6</v>
      </c>
      <c r="D3297">
        <v>1756.848</v>
      </c>
    </row>
    <row r="3298" spans="1:4">
      <c r="A3298" t="str">
        <f>"28642-JL30A"</f>
        <v>28642-JL30A</v>
      </c>
      <c r="B3298" t="str">
        <f t="shared" si="61"/>
        <v>Форсунка омывателя ф</v>
      </c>
      <c r="C3298">
        <v>23</v>
      </c>
      <c r="D3298">
        <v>3418.2239999999997</v>
      </c>
    </row>
    <row r="3299" spans="1:4">
      <c r="A3299" t="str">
        <f>"28642-JN00A"</f>
        <v>28642-JN00A</v>
      </c>
      <c r="B3299" t="str">
        <f t="shared" si="61"/>
        <v>Форсунка омывателя ф</v>
      </c>
      <c r="C3299">
        <v>37</v>
      </c>
      <c r="D3299">
        <v>4207.2959999999994</v>
      </c>
    </row>
    <row r="3300" spans="1:4">
      <c r="A3300" t="str">
        <f>"28642-VC800"</f>
        <v>28642-VC800</v>
      </c>
      <c r="B3300" t="str">
        <f>"NOZZLE ASSY"</f>
        <v>NOZZLE ASSY</v>
      </c>
      <c r="C3300">
        <v>2</v>
      </c>
      <c r="D3300">
        <v>2339.0639999999999</v>
      </c>
    </row>
    <row r="3301" spans="1:4">
      <c r="A3301" t="str">
        <f>"28642-VD200"</f>
        <v>28642-VD200</v>
      </c>
      <c r="B3301" t="str">
        <f>"NOZZLE ASSY"</f>
        <v>NOZZLE ASSY</v>
      </c>
      <c r="C3301">
        <v>8</v>
      </c>
      <c r="D3301">
        <v>2064.48</v>
      </c>
    </row>
    <row r="3302" spans="1:4">
      <c r="A3302" t="str">
        <f>"28645-AU300"</f>
        <v>28645-AU300</v>
      </c>
      <c r="B3302" t="str">
        <f>"BRACKET"</f>
        <v>BRACKET</v>
      </c>
      <c r="C3302">
        <v>29</v>
      </c>
      <c r="D3302">
        <v>432.88799999999998</v>
      </c>
    </row>
    <row r="3303" spans="1:4">
      <c r="A3303" t="str">
        <f>"28645-AX600"</f>
        <v>28645-AX600</v>
      </c>
      <c r="B3303" t="str">
        <f>"BRACKET"</f>
        <v>BRACKET</v>
      </c>
      <c r="C3303">
        <v>18</v>
      </c>
      <c r="D3303">
        <v>262.34399999999999</v>
      </c>
    </row>
    <row r="3304" spans="1:4">
      <c r="A3304" t="str">
        <f>"28646-5X20A"</f>
        <v>28646-5X20A</v>
      </c>
      <c r="B3304" t="str">
        <f>"Кронштейн форсун"</f>
        <v>Кронштейн форсун</v>
      </c>
      <c r="C3304">
        <v>0</v>
      </c>
      <c r="D3304">
        <v>596.49599999999998</v>
      </c>
    </row>
    <row r="3305" spans="1:4">
      <c r="A3305" t="str">
        <f>"28646-AU300"</f>
        <v>28646-AU300</v>
      </c>
      <c r="B3305" t="str">
        <f>"BRACKET"</f>
        <v>BRACKET</v>
      </c>
      <c r="C3305">
        <v>25</v>
      </c>
      <c r="D3305">
        <v>439.82399999999996</v>
      </c>
    </row>
    <row r="3306" spans="1:4">
      <c r="A3306" t="str">
        <f>"28646-AX600"</f>
        <v>28646-AX600</v>
      </c>
      <c r="B3306" t="str">
        <f>"BRACKET"</f>
        <v>BRACKET</v>
      </c>
      <c r="C3306">
        <v>18</v>
      </c>
      <c r="D3306">
        <v>257.85599999999999</v>
      </c>
    </row>
    <row r="3307" spans="1:4">
      <c r="A3307" t="str">
        <f>"28647-0X900"</f>
        <v>28647-0X900</v>
      </c>
      <c r="B3307" t="str">
        <f>"RETAINER"</f>
        <v>RETAINER</v>
      </c>
      <c r="C3307">
        <v>16</v>
      </c>
      <c r="D3307">
        <v>95.063999999999993</v>
      </c>
    </row>
    <row r="3308" spans="1:4">
      <c r="A3308" t="str">
        <f>"28647-9F900"</f>
        <v>28647-9F900</v>
      </c>
      <c r="B3308" t="str">
        <f>"RETAINER"</f>
        <v>RETAINER</v>
      </c>
      <c r="C3308">
        <v>8</v>
      </c>
      <c r="D3308">
        <v>293.76</v>
      </c>
    </row>
    <row r="3309" spans="1:4">
      <c r="A3309" t="str">
        <f>"28647-9W50A"</f>
        <v>28647-9W50A</v>
      </c>
      <c r="B3309" t="str">
        <f>"Фиксатор форсунки ом"</f>
        <v>Фиксатор форсунки ом</v>
      </c>
      <c r="C3309">
        <v>11</v>
      </c>
      <c r="D3309">
        <v>195.43200000000002</v>
      </c>
    </row>
    <row r="3310" spans="1:4">
      <c r="A3310" t="str">
        <f>"28654-3Y70C"</f>
        <v>28654-3Y70C</v>
      </c>
      <c r="B3310" t="str">
        <f>"Насос омывателя фары"</f>
        <v>Насос омывателя фары</v>
      </c>
      <c r="C3310">
        <v>6</v>
      </c>
      <c r="D3310">
        <v>7742.2079999999996</v>
      </c>
    </row>
    <row r="3311" spans="1:4">
      <c r="A3311" t="str">
        <f>"28654-AU300"</f>
        <v>28654-AU300</v>
      </c>
      <c r="B3311" t="str">
        <f>"BODY-HEAD LAMP"</f>
        <v>BODY-HEAD LAMP</v>
      </c>
      <c r="C3311">
        <v>7</v>
      </c>
      <c r="D3311">
        <v>1829.88</v>
      </c>
    </row>
    <row r="3312" spans="1:4">
      <c r="A3312" t="str">
        <f>"28654-AU30A"</f>
        <v>28654-AU30A</v>
      </c>
      <c r="B3312" t="str">
        <f>"Насос омывателя фары"</f>
        <v>Насос омывателя фары</v>
      </c>
      <c r="C3312">
        <v>8</v>
      </c>
      <c r="D3312">
        <v>1852.3199999999997</v>
      </c>
    </row>
    <row r="3313" spans="1:4">
      <c r="A3313" t="str">
        <f>"28654-AX600"</f>
        <v>28654-AX600</v>
      </c>
      <c r="B3313" t="str">
        <f>"BODY-HEAD LAMP"</f>
        <v>BODY-HEAD LAMP</v>
      </c>
      <c r="C3313">
        <v>8</v>
      </c>
      <c r="D3313">
        <v>1148.52</v>
      </c>
    </row>
    <row r="3314" spans="1:4">
      <c r="A3314" t="str">
        <f>"28654-AX60A"</f>
        <v>28654-AX60A</v>
      </c>
      <c r="B3314" t="str">
        <f>"Насос омывателя фары"</f>
        <v>Насос омывателя фары</v>
      </c>
      <c r="C3314">
        <v>8</v>
      </c>
      <c r="D3314">
        <v>1131.7919999999999</v>
      </c>
    </row>
    <row r="3315" spans="1:4">
      <c r="A3315" t="str">
        <f>"28654-BN700"</f>
        <v>28654-BN700</v>
      </c>
      <c r="B3315" t="str">
        <f>"BODY-HEAD LAMP"</f>
        <v>BODY-HEAD LAMP</v>
      </c>
      <c r="C3315">
        <v>34</v>
      </c>
      <c r="D3315">
        <v>1672.3920000000001</v>
      </c>
    </row>
    <row r="3316" spans="1:4">
      <c r="A3316" t="str">
        <f>"28655-3Y70C"</f>
        <v>28655-3Y70C</v>
      </c>
      <c r="B3316" t="str">
        <f>"Насос омывателя фары"</f>
        <v>Насос омывателя фары</v>
      </c>
      <c r="C3316">
        <v>4</v>
      </c>
      <c r="D3316">
        <v>7627.152</v>
      </c>
    </row>
    <row r="3317" spans="1:4">
      <c r="A3317" t="str">
        <f>"28655-AU300"</f>
        <v>28655-AU300</v>
      </c>
      <c r="B3317" t="str">
        <f>"BODY-HEAD LAMP"</f>
        <v>BODY-HEAD LAMP</v>
      </c>
      <c r="C3317">
        <v>12</v>
      </c>
      <c r="D3317">
        <v>1691.9759999999999</v>
      </c>
    </row>
    <row r="3318" spans="1:4">
      <c r="A3318" t="str">
        <f>"28655-AU30A"</f>
        <v>28655-AU30A</v>
      </c>
      <c r="B3318" t="str">
        <f>"Насос омывателя фары"</f>
        <v>Насос омывателя фары</v>
      </c>
      <c r="C3318">
        <v>15</v>
      </c>
      <c r="D3318">
        <v>1836.4079999999999</v>
      </c>
    </row>
    <row r="3319" spans="1:4">
      <c r="A3319" t="str">
        <f>"28655-AX600"</f>
        <v>28655-AX600</v>
      </c>
      <c r="B3319" t="str">
        <f>"BODY-HEAD LAMP"</f>
        <v>BODY-HEAD LAMP</v>
      </c>
      <c r="C3319">
        <v>6</v>
      </c>
      <c r="D3319">
        <v>1177.08</v>
      </c>
    </row>
    <row r="3320" spans="1:4">
      <c r="A3320" t="str">
        <f>"28655-AX60A"</f>
        <v>28655-AX60A</v>
      </c>
      <c r="B3320" t="str">
        <f>"Насос омывателя фары"</f>
        <v>Насос омывателя фары</v>
      </c>
      <c r="C3320">
        <v>3</v>
      </c>
      <c r="D3320">
        <v>1097.9280000000001</v>
      </c>
    </row>
    <row r="3321" spans="1:4">
      <c r="A3321" t="str">
        <f>"28655-BN500"</f>
        <v>28655-BN500</v>
      </c>
      <c r="B3321" t="str">
        <f>"BODY-HEAD LAMP"</f>
        <v>BODY-HEAD LAMP</v>
      </c>
      <c r="C3321">
        <v>2</v>
      </c>
      <c r="D3321">
        <v>1678.5119999999999</v>
      </c>
    </row>
    <row r="3322" spans="1:4">
      <c r="A3322" t="str">
        <f>"28655-BN700"</f>
        <v>28655-BN700</v>
      </c>
      <c r="B3322" t="str">
        <f>"BODY-HEAD LAMP"</f>
        <v>BODY-HEAD LAMP</v>
      </c>
      <c r="C3322">
        <v>34</v>
      </c>
      <c r="D3322">
        <v>1537.752</v>
      </c>
    </row>
    <row r="3323" spans="1:4">
      <c r="A3323" t="str">
        <f>"28658-1AN0A"</f>
        <v>28658-1AN0A</v>
      </c>
      <c r="B3323" t="str">
        <f t="shared" ref="B3323:B3328" si="62">"Облицовка форсунки о"</f>
        <v>Облицовка форсунки о</v>
      </c>
      <c r="C3323">
        <v>0</v>
      </c>
      <c r="D3323">
        <v>1432.4880000000001</v>
      </c>
    </row>
    <row r="3324" spans="1:4">
      <c r="A3324" t="str">
        <f>"28658-1AN1A"</f>
        <v>28658-1AN1A</v>
      </c>
      <c r="B3324" t="str">
        <f t="shared" si="62"/>
        <v>Облицовка форсунки о</v>
      </c>
      <c r="C3324">
        <v>0</v>
      </c>
      <c r="D3324">
        <v>1432.0800000000002</v>
      </c>
    </row>
    <row r="3325" spans="1:4">
      <c r="A3325" t="str">
        <f>"28658-1AN2A"</f>
        <v>28658-1AN2A</v>
      </c>
      <c r="B3325" t="str">
        <f t="shared" si="62"/>
        <v>Облицовка форсунки о</v>
      </c>
      <c r="C3325">
        <v>0</v>
      </c>
      <c r="D3325">
        <v>1465.5359999999998</v>
      </c>
    </row>
    <row r="3326" spans="1:4">
      <c r="A3326" t="str">
        <f>"28658-1AN7A"</f>
        <v>28658-1AN7A</v>
      </c>
      <c r="B3326" t="str">
        <f t="shared" si="62"/>
        <v>Облицовка форсунки о</v>
      </c>
      <c r="C3326">
        <v>0</v>
      </c>
      <c r="D3326">
        <v>1432.0800000000002</v>
      </c>
    </row>
    <row r="3327" spans="1:4">
      <c r="A3327" t="str">
        <f>"28658-1BF3A"</f>
        <v>28658-1BF3A</v>
      </c>
      <c r="B3327" t="str">
        <f t="shared" si="62"/>
        <v>Облицовка форсунки о</v>
      </c>
      <c r="C3327">
        <v>5</v>
      </c>
      <c r="D3327">
        <v>1293.3599999999999</v>
      </c>
    </row>
    <row r="3328" spans="1:4">
      <c r="A3328" t="str">
        <f>"28658-1CJ0A"</f>
        <v>28658-1CJ0A</v>
      </c>
      <c r="B3328" t="str">
        <f t="shared" si="62"/>
        <v>Облицовка форсунки о</v>
      </c>
      <c r="C3328">
        <v>0</v>
      </c>
      <c r="D3328">
        <v>1417.3920000000001</v>
      </c>
    </row>
    <row r="3329" spans="1:4">
      <c r="A3329" t="str">
        <f>"28658-1CJ6A"</f>
        <v>28658-1CJ6A</v>
      </c>
      <c r="B3329" t="str">
        <f>"Крышка омывателя фар"</f>
        <v>Крышка омывателя фар</v>
      </c>
      <c r="C3329">
        <v>1</v>
      </c>
      <c r="D3329">
        <v>1463.904</v>
      </c>
    </row>
    <row r="3330" spans="1:4">
      <c r="A3330" t="str">
        <f>"28658-1CJ7A"</f>
        <v>28658-1CJ7A</v>
      </c>
      <c r="B3330" t="str">
        <f t="shared" ref="B3330:B3336" si="63">"Облицовка форсунки о"</f>
        <v>Облицовка форсунки о</v>
      </c>
      <c r="C3330">
        <v>5</v>
      </c>
      <c r="D3330">
        <v>1459.8239999999998</v>
      </c>
    </row>
    <row r="3331" spans="1:4">
      <c r="A3331" t="str">
        <f>"28658-9U08E"</f>
        <v>28658-9U08E</v>
      </c>
      <c r="B3331" t="str">
        <f t="shared" si="63"/>
        <v>Облицовка форсунки о</v>
      </c>
      <c r="C3331">
        <v>53</v>
      </c>
      <c r="D3331">
        <v>709.10399999999993</v>
      </c>
    </row>
    <row r="3332" spans="1:4">
      <c r="A3332" t="str">
        <f>"28658-9W50A"</f>
        <v>28658-9W50A</v>
      </c>
      <c r="B3332" t="str">
        <f t="shared" si="63"/>
        <v>Облицовка форсунки о</v>
      </c>
      <c r="C3332">
        <v>2</v>
      </c>
      <c r="D3332">
        <v>1262.3520000000001</v>
      </c>
    </row>
    <row r="3333" spans="1:4">
      <c r="A3333" t="str">
        <f>"28658-9W51A"</f>
        <v>28658-9W51A</v>
      </c>
      <c r="B3333" t="str">
        <f t="shared" si="63"/>
        <v>Облицовка форсунки о</v>
      </c>
      <c r="C3333">
        <v>2</v>
      </c>
      <c r="D3333">
        <v>816</v>
      </c>
    </row>
    <row r="3334" spans="1:4">
      <c r="A3334" t="str">
        <f>"28658-9W53A"</f>
        <v>28658-9W53A</v>
      </c>
      <c r="B3334" t="str">
        <f t="shared" si="63"/>
        <v>Облицовка форсунки о</v>
      </c>
      <c r="C3334">
        <v>1</v>
      </c>
      <c r="D3334">
        <v>816</v>
      </c>
    </row>
    <row r="3335" spans="1:4">
      <c r="A3335" t="str">
        <f>"28658-9W54A"</f>
        <v>28658-9W54A</v>
      </c>
      <c r="B3335" t="str">
        <f t="shared" si="63"/>
        <v>Облицовка форсунки о</v>
      </c>
      <c r="C3335">
        <v>2</v>
      </c>
      <c r="D3335">
        <v>1436.568</v>
      </c>
    </row>
    <row r="3336" spans="1:4">
      <c r="A3336" t="str">
        <f>"28658-9W55A"</f>
        <v>28658-9W55A</v>
      </c>
      <c r="B3336" t="str">
        <f t="shared" si="63"/>
        <v>Облицовка форсунки о</v>
      </c>
      <c r="C3336">
        <v>2</v>
      </c>
      <c r="D3336">
        <v>1415.3520000000001</v>
      </c>
    </row>
    <row r="3337" spans="1:4">
      <c r="A3337" t="str">
        <f>"28658-AU300"</f>
        <v>28658-AU300</v>
      </c>
      <c r="B3337" t="str">
        <f>"COVER-HEAD LAMP"</f>
        <v>COVER-HEAD LAMP</v>
      </c>
      <c r="C3337">
        <v>38</v>
      </c>
      <c r="D3337">
        <v>657.69600000000003</v>
      </c>
    </row>
    <row r="3338" spans="1:4">
      <c r="A3338" t="str">
        <f>"28658-AX600"</f>
        <v>28658-AX600</v>
      </c>
      <c r="B3338" t="str">
        <f>"COVER-HEAD LAMP"</f>
        <v>COVER-HEAD LAMP</v>
      </c>
      <c r="C3338">
        <v>60</v>
      </c>
      <c r="D3338">
        <v>830.68799999999999</v>
      </c>
    </row>
    <row r="3339" spans="1:4">
      <c r="A3339" t="str">
        <f>"28658-BH08E"</f>
        <v>28658-BH08E</v>
      </c>
      <c r="B3339" t="str">
        <f>"Облицовка форсунки о"</f>
        <v>Облицовка форсунки о</v>
      </c>
      <c r="C3339">
        <v>0</v>
      </c>
      <c r="D3339">
        <v>862.10399999999993</v>
      </c>
    </row>
    <row r="3340" spans="1:4">
      <c r="A3340" t="str">
        <f>"28658-BN500"</f>
        <v>28658-BN500</v>
      </c>
      <c r="B3340" t="str">
        <f>"COVER-HEAD LAMP"</f>
        <v>COVER-HEAD LAMP</v>
      </c>
      <c r="C3340">
        <v>6</v>
      </c>
      <c r="D3340">
        <v>141.57599999999999</v>
      </c>
    </row>
    <row r="3341" spans="1:4">
      <c r="A3341" t="str">
        <f>"28658-BN700"</f>
        <v>28658-BN700</v>
      </c>
      <c r="B3341" t="str">
        <f>"COVER-HEAD LAMP"</f>
        <v>COVER-HEAD LAMP</v>
      </c>
      <c r="C3341">
        <v>45</v>
      </c>
      <c r="D3341">
        <v>443.49599999999998</v>
      </c>
    </row>
    <row r="3342" spans="1:4">
      <c r="A3342" t="str">
        <f>"28658-BR00H"</f>
        <v>28658-BR00H</v>
      </c>
      <c r="B3342" t="str">
        <f t="shared" ref="B3342:B3363" si="64">"Облицовка форсунки о"</f>
        <v>Облицовка форсунки о</v>
      </c>
      <c r="C3342">
        <v>0</v>
      </c>
      <c r="D3342">
        <v>544.27199999999993</v>
      </c>
    </row>
    <row r="3343" spans="1:4">
      <c r="A3343" t="str">
        <f>"28658-CC000"</f>
        <v>28658-CC000</v>
      </c>
      <c r="B3343" t="str">
        <f t="shared" si="64"/>
        <v>Облицовка форсунки о</v>
      </c>
      <c r="C3343">
        <v>3</v>
      </c>
      <c r="D3343">
        <v>1461.864</v>
      </c>
    </row>
    <row r="3344" spans="1:4">
      <c r="A3344" t="str">
        <f>"28658-CC002"</f>
        <v>28658-CC002</v>
      </c>
      <c r="B3344" t="str">
        <f t="shared" si="64"/>
        <v>Облицовка форсунки о</v>
      </c>
      <c r="C3344">
        <v>6</v>
      </c>
      <c r="D3344">
        <v>1412.904</v>
      </c>
    </row>
    <row r="3345" spans="1:4">
      <c r="A3345" t="str">
        <f>"28658-CC00A"</f>
        <v>28658-CC00A</v>
      </c>
      <c r="B3345" t="str">
        <f t="shared" si="64"/>
        <v>Облицовка форсунки о</v>
      </c>
      <c r="C3345">
        <v>7</v>
      </c>
      <c r="D3345">
        <v>1423.5119999999999</v>
      </c>
    </row>
    <row r="3346" spans="1:4">
      <c r="A3346" t="str">
        <f>"28658-CC018"</f>
        <v>28658-CC018</v>
      </c>
      <c r="B3346" t="str">
        <f t="shared" si="64"/>
        <v>Облицовка форсунки о</v>
      </c>
      <c r="C3346">
        <v>0</v>
      </c>
      <c r="D3346">
        <v>1404.336</v>
      </c>
    </row>
    <row r="3347" spans="1:4">
      <c r="A3347" t="str">
        <f>"28658-CM86A"</f>
        <v>28658-CM86A</v>
      </c>
      <c r="B3347" t="str">
        <f t="shared" si="64"/>
        <v>Облицовка форсунки о</v>
      </c>
      <c r="C3347">
        <v>9</v>
      </c>
      <c r="D3347">
        <v>1455.7439999999999</v>
      </c>
    </row>
    <row r="3348" spans="1:4">
      <c r="A3348" t="str">
        <f>"28658-EM30J"</f>
        <v>28658-EM30J</v>
      </c>
      <c r="B3348" t="str">
        <f t="shared" si="64"/>
        <v>Облицовка форсунки о</v>
      </c>
      <c r="C3348">
        <v>8</v>
      </c>
      <c r="D3348">
        <v>618.52800000000002</v>
      </c>
    </row>
    <row r="3349" spans="1:4">
      <c r="A3349" t="str">
        <f>"28658-EM31C"</f>
        <v>28658-EM31C</v>
      </c>
      <c r="B3349" t="str">
        <f t="shared" si="64"/>
        <v>Облицовка форсунки о</v>
      </c>
      <c r="C3349">
        <v>8</v>
      </c>
      <c r="D3349">
        <v>566.71199999999999</v>
      </c>
    </row>
    <row r="3350" spans="1:4">
      <c r="A3350" t="str">
        <f>"28658-JD000"</f>
        <v>28658-JD000</v>
      </c>
      <c r="B3350" t="str">
        <f t="shared" si="64"/>
        <v>Облицовка форсунки о</v>
      </c>
      <c r="C3350">
        <v>29</v>
      </c>
      <c r="D3350">
        <v>459.40799999999996</v>
      </c>
    </row>
    <row r="3351" spans="1:4">
      <c r="A3351" t="str">
        <f>"28658-JL41A"</f>
        <v>28658-JL41A</v>
      </c>
      <c r="B3351" t="str">
        <f t="shared" si="64"/>
        <v>Облицовка форсунки о</v>
      </c>
      <c r="C3351">
        <v>2</v>
      </c>
      <c r="D3351">
        <v>1429.2239999999999</v>
      </c>
    </row>
    <row r="3352" spans="1:4">
      <c r="A3352" t="str">
        <f>"28658-JL47A"</f>
        <v>28658-JL47A</v>
      </c>
      <c r="B3352" t="str">
        <f t="shared" si="64"/>
        <v>Облицовка форсунки о</v>
      </c>
      <c r="C3352">
        <v>11</v>
      </c>
      <c r="D3352">
        <v>1465.1279999999999</v>
      </c>
    </row>
    <row r="3353" spans="1:4">
      <c r="A3353" t="str">
        <f>"28658-JN00B"</f>
        <v>28658-JN00B</v>
      </c>
      <c r="B3353" t="str">
        <f t="shared" si="64"/>
        <v>Облицовка форсунки о</v>
      </c>
      <c r="C3353">
        <v>4</v>
      </c>
      <c r="D3353">
        <v>820.07999999999993</v>
      </c>
    </row>
    <row r="3354" spans="1:4">
      <c r="A3354" t="str">
        <f>"28658-JN00C"</f>
        <v>28658-JN00C</v>
      </c>
      <c r="B3354" t="str">
        <f t="shared" si="64"/>
        <v>Облицовка форсунки о</v>
      </c>
      <c r="C3354">
        <v>13</v>
      </c>
      <c r="D3354">
        <v>1242.768</v>
      </c>
    </row>
    <row r="3355" spans="1:4">
      <c r="A3355" t="str">
        <f>"28658-JN00D"</f>
        <v>28658-JN00D</v>
      </c>
      <c r="B3355" t="str">
        <f t="shared" si="64"/>
        <v>Облицовка форсунки о</v>
      </c>
      <c r="C3355">
        <v>0</v>
      </c>
      <c r="D3355">
        <v>836.4</v>
      </c>
    </row>
    <row r="3356" spans="1:4">
      <c r="A3356" t="str">
        <f>"28658-JN00E"</f>
        <v>28658-JN00E</v>
      </c>
      <c r="B3356" t="str">
        <f t="shared" si="64"/>
        <v>Облицовка форсунки о</v>
      </c>
      <c r="C3356">
        <v>2</v>
      </c>
      <c r="D3356">
        <v>816</v>
      </c>
    </row>
    <row r="3357" spans="1:4">
      <c r="A3357" t="str">
        <f>"28658-JN01A"</f>
        <v>28658-JN01A</v>
      </c>
      <c r="B3357" t="str">
        <f t="shared" si="64"/>
        <v>Облицовка форсунки о</v>
      </c>
      <c r="C3357">
        <v>2</v>
      </c>
      <c r="D3357">
        <v>853.12800000000004</v>
      </c>
    </row>
    <row r="3358" spans="1:4">
      <c r="A3358" t="str">
        <f>"28659-1AN1A"</f>
        <v>28659-1AN1A</v>
      </c>
      <c r="B3358" t="str">
        <f t="shared" si="64"/>
        <v>Облицовка форсунки о</v>
      </c>
      <c r="C3358">
        <v>0</v>
      </c>
      <c r="D3358">
        <v>1432.0800000000002</v>
      </c>
    </row>
    <row r="3359" spans="1:4">
      <c r="A3359" t="str">
        <f>"28659-1AN2A"</f>
        <v>28659-1AN2A</v>
      </c>
      <c r="B3359" t="str">
        <f t="shared" si="64"/>
        <v>Облицовка форсунки о</v>
      </c>
      <c r="C3359">
        <v>0</v>
      </c>
      <c r="D3359">
        <v>1432.4880000000001</v>
      </c>
    </row>
    <row r="3360" spans="1:4">
      <c r="A3360" t="str">
        <f>"28659-1AN3A"</f>
        <v>28659-1AN3A</v>
      </c>
      <c r="B3360" t="str">
        <f t="shared" si="64"/>
        <v>Облицовка форсунки о</v>
      </c>
      <c r="C3360">
        <v>0</v>
      </c>
      <c r="D3360">
        <v>1432.4880000000001</v>
      </c>
    </row>
    <row r="3361" spans="1:4">
      <c r="A3361" t="str">
        <f>"28659-1AN4A"</f>
        <v>28659-1AN4A</v>
      </c>
      <c r="B3361" t="str">
        <f t="shared" si="64"/>
        <v>Облицовка форсунки о</v>
      </c>
      <c r="C3361">
        <v>0</v>
      </c>
      <c r="D3361">
        <v>1552.44</v>
      </c>
    </row>
    <row r="3362" spans="1:4">
      <c r="A3362" t="str">
        <f>"28659-1BF0A"</f>
        <v>28659-1BF0A</v>
      </c>
      <c r="B3362" t="str">
        <f t="shared" si="64"/>
        <v>Облицовка форсунки о</v>
      </c>
      <c r="C3362">
        <v>1</v>
      </c>
      <c r="D3362">
        <v>1314.576</v>
      </c>
    </row>
    <row r="3363" spans="1:4">
      <c r="A3363" t="str">
        <f>"28659-1BF3A"</f>
        <v>28659-1BF3A</v>
      </c>
      <c r="B3363" t="str">
        <f t="shared" si="64"/>
        <v>Облицовка форсунки о</v>
      </c>
      <c r="C3363">
        <v>3</v>
      </c>
      <c r="D3363">
        <v>1356.192</v>
      </c>
    </row>
    <row r="3364" spans="1:4">
      <c r="A3364" t="str">
        <f>"28659-1BF5A"</f>
        <v>28659-1BF5A</v>
      </c>
      <c r="B3364" t="str">
        <f>"Облицовка омывателя "</f>
        <v xml:space="preserve">Облицовка омывателя </v>
      </c>
      <c r="C3364">
        <v>0</v>
      </c>
      <c r="D3364">
        <v>1293.3599999999999</v>
      </c>
    </row>
    <row r="3365" spans="1:4">
      <c r="A3365" t="str">
        <f>"28659-1CJ0A"</f>
        <v>28659-1CJ0A</v>
      </c>
      <c r="B3365" t="str">
        <f t="shared" ref="B3365:B3375" si="65">"Облицовка форсунки о"</f>
        <v>Облицовка форсунки о</v>
      </c>
      <c r="C3365">
        <v>1</v>
      </c>
      <c r="D3365">
        <v>1480.2239999999999</v>
      </c>
    </row>
    <row r="3366" spans="1:4">
      <c r="A3366" t="str">
        <f>"28659-1CJ3A"</f>
        <v>28659-1CJ3A</v>
      </c>
      <c r="B3366" t="str">
        <f t="shared" si="65"/>
        <v>Облицовка форсунки о</v>
      </c>
      <c r="C3366">
        <v>1</v>
      </c>
      <c r="D3366">
        <v>1410.048</v>
      </c>
    </row>
    <row r="3367" spans="1:4">
      <c r="A3367" t="str">
        <f>"28659-1CJ6A"</f>
        <v>28659-1CJ6A</v>
      </c>
      <c r="B3367" t="str">
        <f t="shared" si="65"/>
        <v>Облицовка форсунки о</v>
      </c>
      <c r="C3367">
        <v>7</v>
      </c>
      <c r="D3367">
        <v>1459.8239999999998</v>
      </c>
    </row>
    <row r="3368" spans="1:4">
      <c r="A3368" t="str">
        <f>"28659-1CJ7A"</f>
        <v>28659-1CJ7A</v>
      </c>
      <c r="B3368" t="str">
        <f t="shared" si="65"/>
        <v>Облицовка форсунки о</v>
      </c>
      <c r="C3368">
        <v>3</v>
      </c>
      <c r="D3368">
        <v>1459.8239999999998</v>
      </c>
    </row>
    <row r="3369" spans="1:4">
      <c r="A3369" t="str">
        <f>"28659-9U08E"</f>
        <v>28659-9U08E</v>
      </c>
      <c r="B3369" t="str">
        <f t="shared" si="65"/>
        <v>Облицовка форсунки о</v>
      </c>
      <c r="C3369">
        <v>21</v>
      </c>
      <c r="D3369">
        <v>701.35199999999998</v>
      </c>
    </row>
    <row r="3370" spans="1:4">
      <c r="A3370" t="str">
        <f>"28659-9W50A"</f>
        <v>28659-9W50A</v>
      </c>
      <c r="B3370" t="str">
        <f t="shared" si="65"/>
        <v>Облицовка форсунки о</v>
      </c>
      <c r="C3370">
        <v>20</v>
      </c>
      <c r="D3370">
        <v>1385.9759999999999</v>
      </c>
    </row>
    <row r="3371" spans="1:4">
      <c r="A3371" t="str">
        <f>"28659-9W51A"</f>
        <v>28659-9W51A</v>
      </c>
      <c r="B3371" t="str">
        <f t="shared" si="65"/>
        <v>Облицовка форсунки о</v>
      </c>
      <c r="C3371">
        <v>2</v>
      </c>
      <c r="D3371">
        <v>816</v>
      </c>
    </row>
    <row r="3372" spans="1:4">
      <c r="A3372" t="str">
        <f>"28659-9W53A"</f>
        <v>28659-9W53A</v>
      </c>
      <c r="B3372" t="str">
        <f t="shared" si="65"/>
        <v>Облицовка форсунки о</v>
      </c>
      <c r="C3372">
        <v>1</v>
      </c>
      <c r="D3372">
        <v>816</v>
      </c>
    </row>
    <row r="3373" spans="1:4">
      <c r="A3373" t="str">
        <f>"28659-9W54A"</f>
        <v>28659-9W54A</v>
      </c>
      <c r="B3373" t="str">
        <f t="shared" si="65"/>
        <v>Облицовка форсунки о</v>
      </c>
      <c r="C3373">
        <v>8</v>
      </c>
      <c r="D3373">
        <v>1435.752</v>
      </c>
    </row>
    <row r="3374" spans="1:4">
      <c r="A3374" t="str">
        <f>"28659-9W55A"</f>
        <v>28659-9W55A</v>
      </c>
      <c r="B3374" t="str">
        <f t="shared" si="65"/>
        <v>Облицовка форсунки о</v>
      </c>
      <c r="C3374">
        <v>1</v>
      </c>
      <c r="D3374">
        <v>1101.5999999999999</v>
      </c>
    </row>
    <row r="3375" spans="1:4">
      <c r="A3375" t="str">
        <f>"28659-9W56A"</f>
        <v>28659-9W56A</v>
      </c>
      <c r="B3375" t="str">
        <f t="shared" si="65"/>
        <v>Облицовка форсунки о</v>
      </c>
      <c r="C3375">
        <v>4</v>
      </c>
      <c r="D3375">
        <v>1423.104</v>
      </c>
    </row>
    <row r="3376" spans="1:4">
      <c r="A3376" t="str">
        <f>"28659-AU300"</f>
        <v>28659-AU300</v>
      </c>
      <c r="B3376" t="str">
        <f>"COVER-HEAD LAMP"</f>
        <v>COVER-HEAD LAMP</v>
      </c>
      <c r="C3376">
        <v>59</v>
      </c>
      <c r="D3376">
        <v>635.66399999999999</v>
      </c>
    </row>
    <row r="3377" spans="1:4">
      <c r="A3377" t="str">
        <f>"28659-AX600"</f>
        <v>28659-AX600</v>
      </c>
      <c r="B3377" t="str">
        <f>"COVER-HEAD LAMP"</f>
        <v>COVER-HEAD LAMP</v>
      </c>
      <c r="C3377">
        <v>28</v>
      </c>
      <c r="D3377">
        <v>159.11999999999998</v>
      </c>
    </row>
    <row r="3378" spans="1:4">
      <c r="A3378" t="str">
        <f>"28659-BH08E"</f>
        <v>28659-BH08E</v>
      </c>
      <c r="B3378" t="str">
        <f>"Облицовка форсунки о"</f>
        <v>Облицовка форсунки о</v>
      </c>
      <c r="C3378">
        <v>10</v>
      </c>
      <c r="D3378">
        <v>411.67199999999997</v>
      </c>
    </row>
    <row r="3379" spans="1:4">
      <c r="A3379" t="str">
        <f>"28659-BN500"</f>
        <v>28659-BN500</v>
      </c>
      <c r="B3379" t="str">
        <f>"COVER-HEAD LAMP"</f>
        <v>COVER-HEAD LAMP</v>
      </c>
      <c r="C3379">
        <v>3</v>
      </c>
      <c r="D3379">
        <v>143.208</v>
      </c>
    </row>
    <row r="3380" spans="1:4">
      <c r="A3380" t="str">
        <f>"28659-BN700"</f>
        <v>28659-BN700</v>
      </c>
      <c r="B3380" t="str">
        <f>"COVER-HEAD LAMP"</f>
        <v>COVER-HEAD LAMP</v>
      </c>
      <c r="C3380">
        <v>20</v>
      </c>
      <c r="D3380">
        <v>429.21600000000001</v>
      </c>
    </row>
    <row r="3381" spans="1:4">
      <c r="A3381" t="str">
        <f>"28659-BR00H"</f>
        <v>28659-BR00H</v>
      </c>
      <c r="B3381" t="str">
        <f t="shared" ref="B3381:B3400" si="66">"Облицовка форсунки о"</f>
        <v>Облицовка форсунки о</v>
      </c>
      <c r="C3381">
        <v>0</v>
      </c>
      <c r="D3381">
        <v>575.28</v>
      </c>
    </row>
    <row r="3382" spans="1:4">
      <c r="A3382" t="str">
        <f>"28659-CC000"</f>
        <v>28659-CC000</v>
      </c>
      <c r="B3382" t="str">
        <f t="shared" si="66"/>
        <v>Облицовка форсунки о</v>
      </c>
      <c r="C3382">
        <v>9</v>
      </c>
      <c r="D3382">
        <v>1461.864</v>
      </c>
    </row>
    <row r="3383" spans="1:4">
      <c r="A3383" t="str">
        <f>"28659-CC002"</f>
        <v>28659-CC002</v>
      </c>
      <c r="B3383" t="str">
        <f t="shared" si="66"/>
        <v>Облицовка форсунки о</v>
      </c>
      <c r="C3383">
        <v>10</v>
      </c>
      <c r="D3383">
        <v>1461.864</v>
      </c>
    </row>
    <row r="3384" spans="1:4">
      <c r="A3384" t="str">
        <f>"28659-CC004"</f>
        <v>28659-CC004</v>
      </c>
      <c r="B3384" t="str">
        <f t="shared" si="66"/>
        <v>Облицовка форсунки о</v>
      </c>
      <c r="C3384">
        <v>6</v>
      </c>
      <c r="D3384">
        <v>1440.24</v>
      </c>
    </row>
    <row r="3385" spans="1:4">
      <c r="A3385" t="str">
        <f>"28659-CC00B"</f>
        <v>28659-CC00B</v>
      </c>
      <c r="B3385" t="str">
        <f t="shared" si="66"/>
        <v>Облицовка форсунки о</v>
      </c>
      <c r="C3385">
        <v>3</v>
      </c>
      <c r="D3385">
        <v>1436.1599999999999</v>
      </c>
    </row>
    <row r="3386" spans="1:4">
      <c r="A3386" t="str">
        <f>"28659-CM86A"</f>
        <v>28659-CM86A</v>
      </c>
      <c r="B3386" t="str">
        <f t="shared" si="66"/>
        <v>Облицовка форсунки о</v>
      </c>
      <c r="C3386">
        <v>11</v>
      </c>
      <c r="D3386">
        <v>1396.992</v>
      </c>
    </row>
    <row r="3387" spans="1:4">
      <c r="A3387" t="str">
        <f>"28659-EJ76A"</f>
        <v>28659-EJ76A</v>
      </c>
      <c r="B3387" t="str">
        <f t="shared" si="66"/>
        <v>Облицовка форсунки о</v>
      </c>
      <c r="C3387">
        <v>2</v>
      </c>
      <c r="D3387">
        <v>1426.3680000000002</v>
      </c>
    </row>
    <row r="3388" spans="1:4">
      <c r="A3388" t="str">
        <f>"28659-EM30A"</f>
        <v>28659-EM30A</v>
      </c>
      <c r="B3388" t="str">
        <f t="shared" si="66"/>
        <v>Облицовка форсунки о</v>
      </c>
      <c r="C3388">
        <v>17</v>
      </c>
      <c r="D3388">
        <v>566.71199999999999</v>
      </c>
    </row>
    <row r="3389" spans="1:4">
      <c r="A3389" t="str">
        <f>"28659-EM30D"</f>
        <v>28659-EM30D</v>
      </c>
      <c r="B3389" t="str">
        <f t="shared" si="66"/>
        <v>Облицовка форсунки о</v>
      </c>
      <c r="C3389">
        <v>0</v>
      </c>
      <c r="D3389">
        <v>548.76</v>
      </c>
    </row>
    <row r="3390" spans="1:4">
      <c r="A3390" t="str">
        <f>"28659-EM30J"</f>
        <v>28659-EM30J</v>
      </c>
      <c r="B3390" t="str">
        <f t="shared" si="66"/>
        <v>Облицовка форсунки о</v>
      </c>
      <c r="C3390">
        <v>53</v>
      </c>
      <c r="D3390">
        <v>582.62399999999991</v>
      </c>
    </row>
    <row r="3391" spans="1:4">
      <c r="A3391" t="str">
        <f>"28659-EM31D"</f>
        <v>28659-EM31D</v>
      </c>
      <c r="B3391" t="str">
        <f t="shared" si="66"/>
        <v>Облицовка форсунки о</v>
      </c>
      <c r="C3391">
        <v>19</v>
      </c>
      <c r="D3391">
        <v>560.59199999999998</v>
      </c>
    </row>
    <row r="3392" spans="1:4">
      <c r="A3392" t="str">
        <f>"28659-EM31E"</f>
        <v>28659-EM31E</v>
      </c>
      <c r="B3392" t="str">
        <f t="shared" si="66"/>
        <v>Облицовка форсунки о</v>
      </c>
      <c r="C3392">
        <v>3</v>
      </c>
      <c r="D3392">
        <v>489.59999999999997</v>
      </c>
    </row>
    <row r="3393" spans="1:4">
      <c r="A3393" t="str">
        <f>"28659-JD000"</f>
        <v>28659-JD000</v>
      </c>
      <c r="B3393" t="str">
        <f t="shared" si="66"/>
        <v>Облицовка форсунки о</v>
      </c>
      <c r="C3393">
        <v>40</v>
      </c>
      <c r="D3393">
        <v>439.416</v>
      </c>
    </row>
    <row r="3394" spans="1:4">
      <c r="A3394" t="str">
        <f>"28659-JL44A"</f>
        <v>28659-JL44A</v>
      </c>
      <c r="B3394" t="str">
        <f t="shared" si="66"/>
        <v>Облицовка форсунки о</v>
      </c>
      <c r="C3394">
        <v>4</v>
      </c>
      <c r="D3394">
        <v>1452.8879999999999</v>
      </c>
    </row>
    <row r="3395" spans="1:4">
      <c r="A3395" t="str">
        <f>"28659-JL47A"</f>
        <v>28659-JL47A</v>
      </c>
      <c r="B3395" t="str">
        <f t="shared" si="66"/>
        <v>Облицовка форсунки о</v>
      </c>
      <c r="C3395">
        <v>6</v>
      </c>
      <c r="D3395">
        <v>1452.8879999999999</v>
      </c>
    </row>
    <row r="3396" spans="1:4">
      <c r="A3396" t="str">
        <f>"28659-JN00B"</f>
        <v>28659-JN00B</v>
      </c>
      <c r="B3396" t="str">
        <f t="shared" si="66"/>
        <v>Облицовка форсунки о</v>
      </c>
      <c r="C3396">
        <v>1</v>
      </c>
      <c r="D3396">
        <v>1248.48</v>
      </c>
    </row>
    <row r="3397" spans="1:4">
      <c r="A3397" t="str">
        <f>"28659-JN00C"</f>
        <v>28659-JN00C</v>
      </c>
      <c r="B3397" t="str">
        <f t="shared" si="66"/>
        <v>Облицовка форсунки о</v>
      </c>
      <c r="C3397">
        <v>2</v>
      </c>
      <c r="D3397">
        <v>1472.88</v>
      </c>
    </row>
    <row r="3398" spans="1:4">
      <c r="A3398" t="str">
        <f>"28659-JN00D"</f>
        <v>28659-JN00D</v>
      </c>
      <c r="B3398" t="str">
        <f t="shared" si="66"/>
        <v>Облицовка форсунки о</v>
      </c>
      <c r="C3398">
        <v>0</v>
      </c>
      <c r="D3398">
        <v>827.42399999999998</v>
      </c>
    </row>
    <row r="3399" spans="1:4">
      <c r="A3399" t="str">
        <f>"28659-JN00E"</f>
        <v>28659-JN00E</v>
      </c>
      <c r="B3399" t="str">
        <f t="shared" si="66"/>
        <v>Облицовка форсунки о</v>
      </c>
      <c r="C3399">
        <v>4</v>
      </c>
      <c r="D3399">
        <v>816</v>
      </c>
    </row>
    <row r="3400" spans="1:4">
      <c r="A3400" t="str">
        <f>"28659-JN01A"</f>
        <v>28659-JN01A</v>
      </c>
      <c r="B3400" t="str">
        <f t="shared" si="66"/>
        <v>Облицовка форсунки о</v>
      </c>
      <c r="C3400">
        <v>2</v>
      </c>
      <c r="D3400">
        <v>820.07999999999993</v>
      </c>
    </row>
    <row r="3401" spans="1:4">
      <c r="A3401" t="str">
        <f>"28659-VB200"</f>
        <v>28659-VB200</v>
      </c>
      <c r="B3401" t="str">
        <f>"COVER-ARM HEAD"</f>
        <v>COVER-ARM HEAD</v>
      </c>
      <c r="C3401">
        <v>10</v>
      </c>
      <c r="D3401">
        <v>89.759999999999991</v>
      </c>
    </row>
    <row r="3402" spans="1:4">
      <c r="A3402" t="str">
        <f>"28661-VB200"</f>
        <v>28661-VB200</v>
      </c>
      <c r="B3402" t="str">
        <f>"MOTOR-LAMP CLNR"</f>
        <v>MOTOR-LAMP CLNR</v>
      </c>
      <c r="C3402">
        <v>4</v>
      </c>
      <c r="D3402">
        <v>3886.6080000000002</v>
      </c>
    </row>
    <row r="3403" spans="1:4">
      <c r="A3403" t="str">
        <f>"28664-1AN0A"</f>
        <v>28664-1AN0A</v>
      </c>
      <c r="B3403" t="str">
        <f>"Кронштейн моторч"</f>
        <v>Кронштейн моторч</v>
      </c>
      <c r="C3403">
        <v>0</v>
      </c>
      <c r="D3403">
        <v>663.40800000000002</v>
      </c>
    </row>
    <row r="3404" spans="1:4">
      <c r="A3404" t="str">
        <f>"28664-1BF0A"</f>
        <v>28664-1BF0A</v>
      </c>
      <c r="B3404" t="str">
        <f>"Кронштейн насоса-фор"</f>
        <v>Кронштейн насоса-фор</v>
      </c>
      <c r="C3404">
        <v>3</v>
      </c>
      <c r="D3404">
        <v>574.87199999999996</v>
      </c>
    </row>
    <row r="3405" spans="1:4">
      <c r="A3405" t="str">
        <f>"28664-1CJ0A"</f>
        <v>28664-1CJ0A</v>
      </c>
      <c r="B3405" t="str">
        <f>"Кронштейн"</f>
        <v>Кронштейн</v>
      </c>
      <c r="C3405">
        <v>1</v>
      </c>
      <c r="D3405">
        <v>656.47199999999987</v>
      </c>
    </row>
    <row r="3406" spans="1:4">
      <c r="A3406" t="str">
        <f>"28664-9W50A"</f>
        <v>28664-9W50A</v>
      </c>
      <c r="B3406" t="str">
        <f>"Кронштейн насоса-фор"</f>
        <v>Кронштейн насоса-фор</v>
      </c>
      <c r="C3406">
        <v>10</v>
      </c>
      <c r="D3406">
        <v>606.28800000000001</v>
      </c>
    </row>
    <row r="3407" spans="1:4">
      <c r="A3407" t="str">
        <f>"28664-CC000"</f>
        <v>28664-CC000</v>
      </c>
      <c r="B3407" t="str">
        <f>"Кронштейн насоса-фор"</f>
        <v>Кронштейн насоса-фор</v>
      </c>
      <c r="C3407">
        <v>6</v>
      </c>
      <c r="D3407">
        <v>708.69600000000003</v>
      </c>
    </row>
    <row r="3408" spans="1:4">
      <c r="A3408" t="str">
        <f>"28666-VB200"</f>
        <v>28666-VB200</v>
      </c>
      <c r="B3408" t="str">
        <f>"MOTOR-LAMP CLNR"</f>
        <v>MOTOR-LAMP CLNR</v>
      </c>
      <c r="C3408">
        <v>3</v>
      </c>
      <c r="D3408">
        <v>4623.4560000000001</v>
      </c>
    </row>
    <row r="3409" spans="1:4">
      <c r="A3409" t="str">
        <f>"28669-1AN0A"</f>
        <v>28669-1AN0A</v>
      </c>
      <c r="B3409" t="str">
        <f>"Кронштейн насоса-фор"</f>
        <v>Кронштейн насоса-фор</v>
      </c>
      <c r="C3409">
        <v>0</v>
      </c>
      <c r="D3409">
        <v>622.60800000000006</v>
      </c>
    </row>
    <row r="3410" spans="1:4">
      <c r="A3410" t="str">
        <f>"28669-1BF0A"</f>
        <v>28669-1BF0A</v>
      </c>
      <c r="B3410" t="str">
        <f>"Кронштейн насоса-фор"</f>
        <v>Кронштейн насоса-фор</v>
      </c>
      <c r="C3410">
        <v>9</v>
      </c>
      <c r="D3410">
        <v>624.64799999999991</v>
      </c>
    </row>
    <row r="3411" spans="1:4">
      <c r="A3411" t="str">
        <f>"28669-1CJ0A"</f>
        <v>28669-1CJ0A</v>
      </c>
      <c r="B3411" t="str">
        <f>"Кронштейн насоса-фор"</f>
        <v>Кронштейн насоса-фор</v>
      </c>
      <c r="C3411">
        <v>10</v>
      </c>
      <c r="D3411">
        <v>593.23199999999997</v>
      </c>
    </row>
    <row r="3412" spans="1:4">
      <c r="A3412" t="str">
        <f>"28669-9W50A"</f>
        <v>28669-9W50A</v>
      </c>
      <c r="B3412" t="str">
        <f>"Кронштейн насоса-фор"</f>
        <v>Кронштейн насоса-фор</v>
      </c>
      <c r="C3412">
        <v>9</v>
      </c>
      <c r="D3412">
        <v>587.11199999999997</v>
      </c>
    </row>
    <row r="3413" spans="1:4">
      <c r="A3413" t="str">
        <f>"28669-CC000"</f>
        <v>28669-CC000</v>
      </c>
      <c r="B3413" t="str">
        <f>"Кронштейн насоса-фор"</f>
        <v>Кронштейн насоса-фор</v>
      </c>
      <c r="C3413">
        <v>5</v>
      </c>
      <c r="D3413">
        <v>677.68799999999999</v>
      </c>
    </row>
    <row r="3414" spans="1:4">
      <c r="A3414" t="str">
        <f>"28673-3S300"</f>
        <v>28673-3S300</v>
      </c>
      <c r="B3414" t="str">
        <f t="shared" ref="B3414:B3423" si="67">"Шланг омывателя"</f>
        <v>Шланг омывателя</v>
      </c>
      <c r="C3414">
        <v>1</v>
      </c>
      <c r="D3414">
        <v>920.44799999999998</v>
      </c>
    </row>
    <row r="3415" spans="1:4">
      <c r="A3415" t="str">
        <f>"28673-3Y70C"</f>
        <v>28673-3Y70C</v>
      </c>
      <c r="B3415" t="str">
        <f t="shared" si="67"/>
        <v>Шланг омывателя</v>
      </c>
      <c r="C3415">
        <v>3</v>
      </c>
      <c r="D3415">
        <v>2188.9199999999996</v>
      </c>
    </row>
    <row r="3416" spans="1:4">
      <c r="A3416" t="str">
        <f>"28673-8H90A"</f>
        <v>28673-8H90A</v>
      </c>
      <c r="B3416" t="str">
        <f t="shared" si="67"/>
        <v>Шланг омывателя</v>
      </c>
      <c r="C3416">
        <v>2</v>
      </c>
      <c r="D3416">
        <v>2366.4</v>
      </c>
    </row>
    <row r="3417" spans="1:4">
      <c r="A3417" t="str">
        <f>"28673-CC000"</f>
        <v>28673-CC000</v>
      </c>
      <c r="B3417" t="str">
        <f t="shared" si="67"/>
        <v>Шланг омывателя</v>
      </c>
      <c r="C3417">
        <v>2</v>
      </c>
      <c r="D3417">
        <v>2330.904</v>
      </c>
    </row>
    <row r="3418" spans="1:4">
      <c r="A3418" t="str">
        <f>"28673-CM80A"</f>
        <v>28673-CM80A</v>
      </c>
      <c r="B3418" t="str">
        <f t="shared" si="67"/>
        <v>Шланг омывателя</v>
      </c>
      <c r="C3418">
        <v>0</v>
      </c>
      <c r="D3418">
        <v>3115.8959999999997</v>
      </c>
    </row>
    <row r="3419" spans="1:4">
      <c r="A3419" t="str">
        <f>"28673-EB300"</f>
        <v>28673-EB300</v>
      </c>
      <c r="B3419" t="str">
        <f t="shared" si="67"/>
        <v>Шланг омывателя</v>
      </c>
      <c r="C3419">
        <v>7</v>
      </c>
      <c r="D3419">
        <v>991.44</v>
      </c>
    </row>
    <row r="3420" spans="1:4">
      <c r="A3420" t="str">
        <f>"28673-EM30A"</f>
        <v>28673-EM30A</v>
      </c>
      <c r="B3420" t="str">
        <f t="shared" si="67"/>
        <v>Шланг омывателя</v>
      </c>
      <c r="C3420">
        <v>11</v>
      </c>
      <c r="D3420">
        <v>3441.0719999999997</v>
      </c>
    </row>
    <row r="3421" spans="1:4">
      <c r="A3421" t="str">
        <f>"28673-EQ00A"</f>
        <v>28673-EQ00A</v>
      </c>
      <c r="B3421" t="str">
        <f t="shared" si="67"/>
        <v>Шланг омывателя</v>
      </c>
      <c r="C3421">
        <v>10</v>
      </c>
      <c r="D3421">
        <v>1811.1119999999999</v>
      </c>
    </row>
    <row r="3422" spans="1:4">
      <c r="A3422" t="str">
        <f>"28673-JG400"</f>
        <v>28673-JG400</v>
      </c>
      <c r="B3422" t="str">
        <f t="shared" si="67"/>
        <v>Шланг омывателя</v>
      </c>
      <c r="C3422">
        <v>2</v>
      </c>
      <c r="D3422">
        <v>2483.904</v>
      </c>
    </row>
    <row r="3423" spans="1:4">
      <c r="A3423" t="str">
        <f>"28673-JN00A"</f>
        <v>28673-JN00A</v>
      </c>
      <c r="B3423" t="str">
        <f t="shared" si="67"/>
        <v>Шланг омывателя</v>
      </c>
      <c r="C3423">
        <v>3</v>
      </c>
      <c r="D3423">
        <v>1754.3999999999999</v>
      </c>
    </row>
    <row r="3424" spans="1:4">
      <c r="A3424" t="str">
        <f>"28677-VB200"</f>
        <v>28677-VB200</v>
      </c>
      <c r="B3424" t="str">
        <f>"BLADE ASSY-HEAD"</f>
        <v>BLADE ASSY-HEAD</v>
      </c>
      <c r="C3424">
        <v>7</v>
      </c>
      <c r="D3424">
        <v>501.43200000000002</v>
      </c>
    </row>
    <row r="3425" spans="1:4">
      <c r="A3425" t="str">
        <f>"28679-VB200"</f>
        <v>28679-VB200</v>
      </c>
      <c r="B3425" t="str">
        <f>"BLADE ASSY"</f>
        <v>BLADE ASSY</v>
      </c>
      <c r="C3425">
        <v>7</v>
      </c>
      <c r="D3425">
        <v>529.99199999999996</v>
      </c>
    </row>
    <row r="3426" spans="1:4">
      <c r="A3426" t="str">
        <f>"28700-EA500"</f>
        <v>28700-EA500</v>
      </c>
      <c r="B3426" t="str">
        <f t="shared" ref="B3426:B3431" si="68">"Мотор стеклоочистите"</f>
        <v>Мотор стеклоочистите</v>
      </c>
      <c r="C3426">
        <v>0</v>
      </c>
      <c r="D3426">
        <v>3924.1439999999998</v>
      </c>
    </row>
    <row r="3427" spans="1:4">
      <c r="A3427" t="str">
        <f>"28710-8H31A"</f>
        <v>28710-8H31A</v>
      </c>
      <c r="B3427" t="str">
        <f t="shared" si="68"/>
        <v>Мотор стеклоочистите</v>
      </c>
      <c r="C3427">
        <v>6</v>
      </c>
      <c r="D3427">
        <v>10037.208000000001</v>
      </c>
    </row>
    <row r="3428" spans="1:4">
      <c r="A3428" t="str">
        <f>"28710-9U00B"</f>
        <v>28710-9U00B</v>
      </c>
      <c r="B3428" t="str">
        <f t="shared" si="68"/>
        <v>Мотор стеклоочистите</v>
      </c>
      <c r="C3428">
        <v>4</v>
      </c>
      <c r="D3428">
        <v>6687.9359999999997</v>
      </c>
    </row>
    <row r="3429" spans="1:4">
      <c r="A3429" t="str">
        <f>"28710-AX60A"</f>
        <v>28710-AX60A</v>
      </c>
      <c r="B3429" t="str">
        <f t="shared" si="68"/>
        <v>Мотор стеклоочистите</v>
      </c>
      <c r="C3429">
        <v>2</v>
      </c>
      <c r="D3429">
        <v>6286.4639999999999</v>
      </c>
    </row>
    <row r="3430" spans="1:4">
      <c r="A3430" t="str">
        <f>"28710-BM41E"</f>
        <v>28710-BM41E</v>
      </c>
      <c r="B3430" t="str">
        <f t="shared" si="68"/>
        <v>Мотор стеклоочистите</v>
      </c>
      <c r="C3430">
        <v>3</v>
      </c>
      <c r="D3430">
        <v>7508.0159999999996</v>
      </c>
    </row>
    <row r="3431" spans="1:4">
      <c r="A3431" t="str">
        <f>"28710-CL70B"</f>
        <v>28710-CL70B</v>
      </c>
      <c r="B3431" t="str">
        <f t="shared" si="68"/>
        <v>Мотор стеклоочистите</v>
      </c>
      <c r="C3431">
        <v>3</v>
      </c>
      <c r="D3431">
        <v>11578.632</v>
      </c>
    </row>
    <row r="3432" spans="1:4">
      <c r="A3432" t="str">
        <f>"28780-BN71A"</f>
        <v>28780-BN71A</v>
      </c>
      <c r="B3432" t="str">
        <f>"Поводок стеклоочисти"</f>
        <v>Поводок стеклоочисти</v>
      </c>
      <c r="C3432">
        <v>7</v>
      </c>
      <c r="D3432">
        <v>1307.6400000000001</v>
      </c>
    </row>
    <row r="3433" spans="1:4">
      <c r="A3433" t="str">
        <f>"28780-EM00A"</f>
        <v>28780-EM00A</v>
      </c>
      <c r="B3433" t="str">
        <f>"Поводок стеклоочисти"</f>
        <v>Поводок стеклоочисти</v>
      </c>
      <c r="C3433">
        <v>4</v>
      </c>
      <c r="D3433">
        <v>640.96799999999996</v>
      </c>
    </row>
    <row r="3434" spans="1:4">
      <c r="A3434" t="str">
        <f>"28780-EM00B"</f>
        <v>28780-EM00B</v>
      </c>
      <c r="B3434" t="str">
        <f>"ПОВОДОК СТЕКЛООЧ"</f>
        <v>ПОВОДОК СТЕКЛООЧ</v>
      </c>
      <c r="C3434">
        <v>0</v>
      </c>
      <c r="D3434">
        <v>895.96799999999996</v>
      </c>
    </row>
    <row r="3435" spans="1:4">
      <c r="A3435" t="str">
        <f>"28780-JG000"</f>
        <v>28780-JG000</v>
      </c>
      <c r="B3435" t="str">
        <f>"Поводок стеклоочисти"</f>
        <v>Поводок стеклоочисти</v>
      </c>
      <c r="C3435">
        <v>14</v>
      </c>
      <c r="D3435">
        <v>1734</v>
      </c>
    </row>
    <row r="3436" spans="1:4">
      <c r="A3436" t="str">
        <f>"28781-1BB0A"</f>
        <v>28781-1BB0A</v>
      </c>
      <c r="B3436" t="str">
        <f>"Поводок стеклоочисти"</f>
        <v>Поводок стеклоочисти</v>
      </c>
      <c r="C3436">
        <v>1</v>
      </c>
      <c r="D3436">
        <v>1537.3439999999998</v>
      </c>
    </row>
    <row r="3437" spans="1:4">
      <c r="A3437" t="str">
        <f>"28781-1U600"</f>
        <v>28781-1U600</v>
      </c>
      <c r="B3437" t="str">
        <f>"Поводок стеклоочисти"</f>
        <v>Поводок стеклоочисти</v>
      </c>
      <c r="C3437">
        <v>25</v>
      </c>
      <c r="D3437">
        <v>1409.64</v>
      </c>
    </row>
    <row r="3438" spans="1:4">
      <c r="A3438" t="str">
        <f>"28781-3U020"</f>
        <v>28781-3U020</v>
      </c>
      <c r="B3438" t="str">
        <f>"ARM ASSY-RR WDW"</f>
        <v>ARM ASSY-RR WDW</v>
      </c>
      <c r="C3438">
        <v>16</v>
      </c>
      <c r="D3438">
        <v>814.77599999999995</v>
      </c>
    </row>
    <row r="3439" spans="1:4">
      <c r="A3439" t="str">
        <f>"28781-8H31A"</f>
        <v>28781-8H31A</v>
      </c>
      <c r="B3439" t="str">
        <f>"Поводок стеклоочисти"</f>
        <v>Поводок стеклоочисти</v>
      </c>
      <c r="C3439">
        <v>11</v>
      </c>
      <c r="D3439">
        <v>1111.8</v>
      </c>
    </row>
    <row r="3440" spans="1:4">
      <c r="A3440" t="str">
        <f>"28781-AU000"</f>
        <v>28781-AU000</v>
      </c>
      <c r="B3440" t="str">
        <f>"ARM ASSY-REAR W"</f>
        <v>ARM ASSY-REAR W</v>
      </c>
      <c r="C3440">
        <v>10</v>
      </c>
      <c r="D3440">
        <v>856.8</v>
      </c>
    </row>
    <row r="3441" spans="1:4">
      <c r="A3441" t="str">
        <f>"28781-AU50A"</f>
        <v>28781-AU50A</v>
      </c>
      <c r="B3441" t="str">
        <f>"Поводок стеклоочисти"</f>
        <v>Поводок стеклоочисти</v>
      </c>
      <c r="C3441">
        <v>1</v>
      </c>
      <c r="D3441">
        <v>920.85599999999999</v>
      </c>
    </row>
    <row r="3442" spans="1:4">
      <c r="A3442" t="str">
        <f>"28781-CA000"</f>
        <v>28781-CA000</v>
      </c>
      <c r="B3442" t="str">
        <f>"ARM ASSY-RR WD"</f>
        <v>ARM ASSY-RR WD</v>
      </c>
      <c r="C3442">
        <v>0</v>
      </c>
      <c r="D3442">
        <v>765.81599999999992</v>
      </c>
    </row>
    <row r="3443" spans="1:4">
      <c r="A3443" t="str">
        <f>"28781-CB000"</f>
        <v>28781-CB000</v>
      </c>
      <c r="B3443" t="str">
        <f>"Поводок стеклоочисти"</f>
        <v>Поводок стеклоочисти</v>
      </c>
      <c r="C3443">
        <v>8</v>
      </c>
      <c r="D3443">
        <v>727.87199999999996</v>
      </c>
    </row>
    <row r="3444" spans="1:4">
      <c r="A3444" t="str">
        <f>"28781-CG000"</f>
        <v>28781-CG000</v>
      </c>
      <c r="B3444" t="str">
        <f>"Поводок стеклоочисти"</f>
        <v>Поводок стеклоочисти</v>
      </c>
      <c r="C3444">
        <v>8</v>
      </c>
      <c r="D3444">
        <v>1247.664</v>
      </c>
    </row>
    <row r="3445" spans="1:4">
      <c r="A3445" t="str">
        <f>"28781-EA500"</f>
        <v>28781-EA500</v>
      </c>
      <c r="B3445" t="str">
        <f>"Поводок стеклоочисти"</f>
        <v>Поводок стеклоочисти</v>
      </c>
      <c r="C3445">
        <v>11</v>
      </c>
      <c r="D3445">
        <v>600.16800000000001</v>
      </c>
    </row>
    <row r="3446" spans="1:4">
      <c r="A3446" t="str">
        <f>"28781-JD00A"</f>
        <v>28781-JD00A</v>
      </c>
      <c r="B3446" t="str">
        <f>"Поводок стеклоочисти"</f>
        <v>Поводок стеклоочисти</v>
      </c>
      <c r="C3446">
        <v>85</v>
      </c>
      <c r="D3446">
        <v>798.04799999999989</v>
      </c>
    </row>
    <row r="3447" spans="1:4">
      <c r="A3447" t="str">
        <f>"28781-JG00A"</f>
        <v>28781-JG00A</v>
      </c>
      <c r="B3447" t="str">
        <f>"Поводок стеклоочисти"</f>
        <v>Поводок стеклоочисти</v>
      </c>
      <c r="C3447">
        <v>2</v>
      </c>
      <c r="D3447">
        <v>1348.44</v>
      </c>
    </row>
    <row r="3448" spans="1:4">
      <c r="A3448" t="str">
        <f>"28782-1F500"</f>
        <v>28782-1F500</v>
      </c>
      <c r="B3448" t="str">
        <f>"COVER-REAR WIPE"</f>
        <v>COVER-REAR WIPE</v>
      </c>
      <c r="C3448">
        <v>1</v>
      </c>
      <c r="D3448">
        <v>161.97599999999997</v>
      </c>
    </row>
    <row r="3449" spans="1:4">
      <c r="A3449" t="str">
        <f>"28782-8F800"</f>
        <v>28782-8F800</v>
      </c>
      <c r="B3449" t="str">
        <f>"COVER-REAR WIPE"</f>
        <v>COVER-REAR WIPE</v>
      </c>
      <c r="C3449">
        <v>7</v>
      </c>
      <c r="D3449">
        <v>166.87199999999999</v>
      </c>
    </row>
    <row r="3450" spans="1:4">
      <c r="A3450" t="str">
        <f>"28782-AU210"</f>
        <v>28782-AU210</v>
      </c>
      <c r="B3450" t="str">
        <f>"COVER-ARM,BACK"</f>
        <v>COVER-ARM,BACK</v>
      </c>
      <c r="C3450">
        <v>10</v>
      </c>
      <c r="D3450">
        <v>145.65599999999998</v>
      </c>
    </row>
    <row r="3451" spans="1:4">
      <c r="A3451" t="str">
        <f>"28782-CB000"</f>
        <v>28782-CB000</v>
      </c>
      <c r="B3451" t="str">
        <f t="shared" ref="B3451:B3456" si="69">"Крышка поводка стекл"</f>
        <v>Крышка поводка стекл</v>
      </c>
      <c r="C3451">
        <v>9</v>
      </c>
      <c r="D3451">
        <v>159.52799999999999</v>
      </c>
    </row>
    <row r="3452" spans="1:4">
      <c r="A3452" t="str">
        <f>"28782-CG000"</f>
        <v>28782-CG000</v>
      </c>
      <c r="B3452" t="str">
        <f t="shared" si="69"/>
        <v>Крышка поводка стекл</v>
      </c>
      <c r="C3452">
        <v>7</v>
      </c>
      <c r="D3452">
        <v>157.89600000000002</v>
      </c>
    </row>
    <row r="3453" spans="1:4">
      <c r="A3453" t="str">
        <f>"28782-EA500"</f>
        <v>28782-EA500</v>
      </c>
      <c r="B3453" t="str">
        <f t="shared" si="69"/>
        <v>Крышка поводка стекл</v>
      </c>
      <c r="C3453">
        <v>19</v>
      </c>
      <c r="D3453">
        <v>66.911999999999992</v>
      </c>
    </row>
    <row r="3454" spans="1:4">
      <c r="A3454" t="str">
        <f>"28782-JD00A"</f>
        <v>28782-JD00A</v>
      </c>
      <c r="B3454" t="str">
        <f t="shared" si="69"/>
        <v>Крышка поводка стекл</v>
      </c>
      <c r="C3454">
        <v>12</v>
      </c>
      <c r="D3454">
        <v>152.59199999999998</v>
      </c>
    </row>
    <row r="3455" spans="1:4">
      <c r="A3455" t="str">
        <f>"28782-JG000"</f>
        <v>28782-JG000</v>
      </c>
      <c r="B3455" t="str">
        <f t="shared" si="69"/>
        <v>Крышка поводка стекл</v>
      </c>
      <c r="C3455">
        <v>3</v>
      </c>
      <c r="D3455">
        <v>165.648</v>
      </c>
    </row>
    <row r="3456" spans="1:4">
      <c r="A3456" t="str">
        <f>"28782-WD800"</f>
        <v>28782-WD800</v>
      </c>
      <c r="B3456" t="str">
        <f t="shared" si="69"/>
        <v>Крышка поводка стекл</v>
      </c>
      <c r="C3456">
        <v>30</v>
      </c>
      <c r="D3456">
        <v>94.655999999999992</v>
      </c>
    </row>
    <row r="3457" spans="1:4">
      <c r="A3457" t="str">
        <f>"28782-WF000"</f>
        <v>28782-WF000</v>
      </c>
      <c r="B3457" t="str">
        <f>"COVER-REAR WIPE"</f>
        <v>COVER-REAR WIPE</v>
      </c>
      <c r="C3457">
        <v>9</v>
      </c>
      <c r="D3457">
        <v>87.719999999999985</v>
      </c>
    </row>
    <row r="3458" spans="1:4">
      <c r="A3458" t="str">
        <f>"28790-1BA0A"</f>
        <v>28790-1BA0A</v>
      </c>
      <c r="B3458" t="str">
        <f>"Щетка стеклоочистите"</f>
        <v>Щетка стеклоочистите</v>
      </c>
      <c r="C3458">
        <v>9</v>
      </c>
      <c r="D3458">
        <v>436.15199999999999</v>
      </c>
    </row>
    <row r="3459" spans="1:4">
      <c r="A3459" t="str">
        <f>"28790-3U020"</f>
        <v>28790-3U020</v>
      </c>
      <c r="B3459" t="str">
        <f>"BLADE ASSY-BACK"</f>
        <v>BLADE ASSY-BACK</v>
      </c>
      <c r="C3459">
        <v>0</v>
      </c>
      <c r="D3459">
        <v>320.68799999999999</v>
      </c>
    </row>
    <row r="3460" spans="1:4">
      <c r="A3460" t="str">
        <f>"28790-7S000"</f>
        <v>28790-7S000</v>
      </c>
      <c r="B3460" t="str">
        <f>"BLADE ASSY-BACK"</f>
        <v>BLADE ASSY-BACK</v>
      </c>
      <c r="C3460">
        <v>0</v>
      </c>
      <c r="D3460">
        <v>286.416</v>
      </c>
    </row>
    <row r="3461" spans="1:4">
      <c r="A3461" t="str">
        <f>"28790-AU210"</f>
        <v>28790-AU210</v>
      </c>
      <c r="B3461" t="str">
        <f>"BLADE ASSY-REAR"</f>
        <v>BLADE ASSY-REAR</v>
      </c>
      <c r="C3461">
        <v>2</v>
      </c>
      <c r="D3461">
        <v>439.82399999999996</v>
      </c>
    </row>
    <row r="3462" spans="1:4">
      <c r="A3462" t="str">
        <f>"28790-AU500"</f>
        <v>28790-AU500</v>
      </c>
      <c r="B3462" t="str">
        <f>"BLADE ASSY-REAR"</f>
        <v>BLADE ASSY-REAR</v>
      </c>
      <c r="C3462">
        <v>3</v>
      </c>
      <c r="D3462">
        <v>351.69599999999997</v>
      </c>
    </row>
    <row r="3463" spans="1:4">
      <c r="A3463" t="str">
        <f>"28790-BN701"</f>
        <v>28790-BN701</v>
      </c>
      <c r="B3463" t="str">
        <f>"BLADE ASSY-BACK"</f>
        <v>BLADE ASSY-BACK</v>
      </c>
      <c r="C3463">
        <v>2</v>
      </c>
      <c r="D3463">
        <v>286.416</v>
      </c>
    </row>
    <row r="3464" spans="1:4">
      <c r="A3464" t="str">
        <f>"28790-CA025"</f>
        <v>28790-CA025</v>
      </c>
      <c r="B3464" t="str">
        <f>"BLADE ASSY-BACK"</f>
        <v>BLADE ASSY-BACK</v>
      </c>
      <c r="C3464">
        <v>15</v>
      </c>
      <c r="D3464">
        <v>315.79200000000003</v>
      </c>
    </row>
    <row r="3465" spans="1:4">
      <c r="A3465" t="str">
        <f>"28790-EN000"</f>
        <v>28790-EN000</v>
      </c>
      <c r="B3465" t="str">
        <f>"Щетка стеклоочистите"</f>
        <v>Щетка стеклоочистите</v>
      </c>
      <c r="C3465">
        <v>88</v>
      </c>
      <c r="D3465">
        <v>385.15199999999999</v>
      </c>
    </row>
    <row r="3466" spans="1:4">
      <c r="A3466" t="str">
        <f>"28790-JD00A"</f>
        <v>28790-JD00A</v>
      </c>
      <c r="B3466" t="str">
        <f>"Щетка стеклоочистите"</f>
        <v>Щетка стеклоочистите</v>
      </c>
      <c r="C3466">
        <v>5</v>
      </c>
      <c r="D3466">
        <v>263.56799999999998</v>
      </c>
    </row>
    <row r="3467" spans="1:4">
      <c r="A3467" t="str">
        <f>"28790-JG00A"</f>
        <v>28790-JG00A</v>
      </c>
      <c r="B3467" t="str">
        <f>"Щетка стеклоочистите"</f>
        <v>Щетка стеклоочистите</v>
      </c>
      <c r="C3467">
        <v>23</v>
      </c>
      <c r="D3467">
        <v>410.85599999999999</v>
      </c>
    </row>
    <row r="3468" spans="1:4">
      <c r="A3468" t="str">
        <f>"28790-WL010"</f>
        <v>28790-WL010</v>
      </c>
      <c r="B3468" t="str">
        <f>"BLADE ASSY-BACK"</f>
        <v>BLADE ASSY-BACK</v>
      </c>
      <c r="C3468">
        <v>0</v>
      </c>
      <c r="D3468">
        <v>325.584</v>
      </c>
    </row>
    <row r="3469" spans="1:4">
      <c r="A3469" t="str">
        <f>"28795-EL00A"</f>
        <v>28795-EL00A</v>
      </c>
      <c r="B3469" t="str">
        <f>"Щетка стеклоочистите"</f>
        <v>Щетка стеклоочистите</v>
      </c>
      <c r="C3469">
        <v>39</v>
      </c>
      <c r="D3469">
        <v>159.93600000000001</v>
      </c>
    </row>
    <row r="3470" spans="1:4">
      <c r="A3470" t="str">
        <f>"28800-95F0C"</f>
        <v>28800-95F0C</v>
      </c>
      <c r="B3470" t="str">
        <f>"Механизм стеклоочист"</f>
        <v>Механизм стеклоочист</v>
      </c>
      <c r="C3470">
        <v>2</v>
      </c>
      <c r="D3470">
        <v>8282.4</v>
      </c>
    </row>
    <row r="3471" spans="1:4">
      <c r="A3471" t="str">
        <f>"28800-9U10A"</f>
        <v>28800-9U10A</v>
      </c>
      <c r="B3471" t="str">
        <f>"Механизм стеклоочист"</f>
        <v>Механизм стеклоочист</v>
      </c>
      <c r="C3471">
        <v>0</v>
      </c>
      <c r="D3471">
        <v>7113.48</v>
      </c>
    </row>
    <row r="3472" spans="1:4">
      <c r="A3472" t="str">
        <f>"28800-AU31A"</f>
        <v>28800-AU31A</v>
      </c>
      <c r="B3472" t="str">
        <f>"Механизм стеклоочист"</f>
        <v>Механизм стеклоочист</v>
      </c>
      <c r="C3472">
        <v>1</v>
      </c>
      <c r="D3472">
        <v>8508.0239999999994</v>
      </c>
    </row>
    <row r="3473" spans="1:4">
      <c r="A3473" t="str">
        <f>"28800-BN01A"</f>
        <v>28800-BN01A</v>
      </c>
      <c r="B3473" t="str">
        <f>"Механизм стеклоочист"</f>
        <v>Механизм стеклоочист</v>
      </c>
      <c r="C3473">
        <v>10</v>
      </c>
      <c r="D3473">
        <v>7503.5279999999993</v>
      </c>
    </row>
    <row r="3474" spans="1:4">
      <c r="A3474" t="str">
        <f>"28800-BU100"</f>
        <v>28800-BU100</v>
      </c>
      <c r="B3474" t="str">
        <f>"WIPER ASSY-WIND"</f>
        <v>WIPER ASSY-WIND</v>
      </c>
      <c r="C3474">
        <v>7</v>
      </c>
      <c r="D3474">
        <v>10275.071999999998</v>
      </c>
    </row>
    <row r="3475" spans="1:4">
      <c r="A3475" t="str">
        <f>"28800-EB400"</f>
        <v>28800-EB400</v>
      </c>
      <c r="B3475" t="str">
        <f>"Механизм стеклоочист"</f>
        <v>Механизм стеклоочист</v>
      </c>
      <c r="C3475">
        <v>1</v>
      </c>
      <c r="D3475">
        <v>8728.3439999999991</v>
      </c>
    </row>
    <row r="3476" spans="1:4">
      <c r="A3476" t="str">
        <f>"28800-JD900"</f>
        <v>28800-JD900</v>
      </c>
      <c r="B3476" t="str">
        <f>"Механизм стеклоочист"</f>
        <v>Механизм стеклоочист</v>
      </c>
      <c r="C3476">
        <v>21</v>
      </c>
      <c r="D3476">
        <v>7531.6799999999994</v>
      </c>
    </row>
    <row r="3477" spans="1:4">
      <c r="A3477" t="str">
        <f>"28810-95F0B"</f>
        <v>28810-95F0B</v>
      </c>
      <c r="B3477" t="str">
        <f>"Мотор стеклоочистите"</f>
        <v>Мотор стеклоочистите</v>
      </c>
      <c r="C3477">
        <v>4</v>
      </c>
      <c r="D3477">
        <v>6732</v>
      </c>
    </row>
    <row r="3478" spans="1:4">
      <c r="A3478" t="str">
        <f>"28810-AU31A"</f>
        <v>28810-AU31A</v>
      </c>
      <c r="B3478" t="str">
        <f>"Мотор стеклоочистите"</f>
        <v>Мотор стеклоочистите</v>
      </c>
      <c r="C3478">
        <v>9</v>
      </c>
      <c r="D3478">
        <v>6865.8240000000005</v>
      </c>
    </row>
    <row r="3479" spans="1:4">
      <c r="A3479" t="str">
        <f>"28810-AX70A"</f>
        <v>28810-AX70A</v>
      </c>
      <c r="B3479" t="str">
        <f>"Мотор стеклоочистите"</f>
        <v>Мотор стеклоочистите</v>
      </c>
      <c r="C3479">
        <v>5</v>
      </c>
      <c r="D3479">
        <v>6253.8240000000005</v>
      </c>
    </row>
    <row r="3480" spans="1:4">
      <c r="A3480" t="str">
        <f>"28810-EQ31A"</f>
        <v>28810-EQ31A</v>
      </c>
      <c r="B3480" t="str">
        <f>"Мотор стеклоочистите"</f>
        <v>Мотор стеклоочистите</v>
      </c>
      <c r="C3480">
        <v>1</v>
      </c>
      <c r="D3480">
        <v>8683.4639999999999</v>
      </c>
    </row>
    <row r="3481" spans="1:4">
      <c r="A3481" t="str">
        <f>"28828-65F01"</f>
        <v>28828-65F01</v>
      </c>
      <c r="B3481" t="str">
        <f>"SEAL-BALL RETNR"</f>
        <v>SEAL-BALL RETNR</v>
      </c>
      <c r="C3481">
        <v>16</v>
      </c>
      <c r="D3481">
        <v>52.631999999999998</v>
      </c>
    </row>
    <row r="3482" spans="1:4">
      <c r="A3482" t="str">
        <f>"28840-9W100"</f>
        <v>28840-9W100</v>
      </c>
      <c r="B3482" t="str">
        <f>"Механизм стеклоочист"</f>
        <v>Механизм стеклоочист</v>
      </c>
      <c r="C3482">
        <v>14</v>
      </c>
      <c r="D3482">
        <v>3577.752</v>
      </c>
    </row>
    <row r="3483" spans="1:4">
      <c r="A3483" t="str">
        <f>"28840-AX70A"</f>
        <v>28840-AX70A</v>
      </c>
      <c r="B3483" t="str">
        <f>"Механизм стеклоочист"</f>
        <v>Механизм стеклоочист</v>
      </c>
      <c r="C3483">
        <v>15</v>
      </c>
      <c r="D3483">
        <v>4723.8239999999996</v>
      </c>
    </row>
    <row r="3484" spans="1:4">
      <c r="A3484" t="str">
        <f>"28840-CA000"</f>
        <v>28840-CA000</v>
      </c>
      <c r="B3484" t="str">
        <f>"Механизм стеклоочист"</f>
        <v>Механизм стеклоочист</v>
      </c>
      <c r="C3484">
        <v>4</v>
      </c>
      <c r="D3484">
        <v>3714.8399999999997</v>
      </c>
    </row>
    <row r="3485" spans="1:4">
      <c r="A3485" t="str">
        <f>"28840-JG40A"</f>
        <v>28840-JG40A</v>
      </c>
      <c r="B3485" t="str">
        <f>"Механизм стеклоочист"</f>
        <v>Механизм стеклоочист</v>
      </c>
      <c r="C3485">
        <v>3</v>
      </c>
      <c r="D3485">
        <v>4470.8639999999996</v>
      </c>
    </row>
    <row r="3486" spans="1:4">
      <c r="A3486" t="str">
        <f>"28841-06J00"</f>
        <v>28841-06J00</v>
      </c>
      <c r="B3486" t="str">
        <f>"LINK-CONNECTING"</f>
        <v>LINK-CONNECTING</v>
      </c>
      <c r="C3486">
        <v>3</v>
      </c>
      <c r="D3486">
        <v>535.70399999999995</v>
      </c>
    </row>
    <row r="3487" spans="1:4">
      <c r="A3487" t="str">
        <f>"28841-0F000"</f>
        <v>28841-0F000</v>
      </c>
      <c r="B3487" t="str">
        <f>"LINK ASSY-CONNE"</f>
        <v>LINK ASSY-CONNE</v>
      </c>
      <c r="C3487">
        <v>0</v>
      </c>
      <c r="D3487">
        <v>700.12800000000004</v>
      </c>
    </row>
    <row r="3488" spans="1:4">
      <c r="A3488" t="str">
        <f>"28841-0M000"</f>
        <v>28841-0M000</v>
      </c>
      <c r="B3488" t="str">
        <f>"Тяга стеклоочистител"</f>
        <v>Тяга стеклоочистител</v>
      </c>
      <c r="C3488">
        <v>3</v>
      </c>
      <c r="D3488">
        <v>531.62399999999991</v>
      </c>
    </row>
    <row r="3489" spans="1:4">
      <c r="A3489" t="str">
        <f>"28841-0W00C"</f>
        <v>28841-0W00C</v>
      </c>
      <c r="B3489" t="str">
        <f>"Тяга стеклоочистител"</f>
        <v>Тяга стеклоочистител</v>
      </c>
      <c r="C3489">
        <v>1</v>
      </c>
      <c r="D3489">
        <v>572.83199999999999</v>
      </c>
    </row>
    <row r="3490" spans="1:4">
      <c r="A3490" t="str">
        <f>"28841-1M200"</f>
        <v>28841-1M200</v>
      </c>
      <c r="B3490" t="str">
        <f t="shared" ref="B3490:B3495" si="70">"LINK-CONNECTING"</f>
        <v>LINK-CONNECTING</v>
      </c>
      <c r="C3490">
        <v>14</v>
      </c>
      <c r="D3490">
        <v>482.25599999999997</v>
      </c>
    </row>
    <row r="3491" spans="1:4">
      <c r="A3491" t="str">
        <f>"28841-2F900"</f>
        <v>28841-2F900</v>
      </c>
      <c r="B3491" t="str">
        <f t="shared" si="70"/>
        <v>LINK-CONNECTING</v>
      </c>
      <c r="C3491">
        <v>30</v>
      </c>
      <c r="D3491">
        <v>532.03200000000004</v>
      </c>
    </row>
    <row r="3492" spans="1:4">
      <c r="A3492" t="str">
        <f>"28841-2Y910"</f>
        <v>28841-2Y910</v>
      </c>
      <c r="B3492" t="str">
        <f t="shared" si="70"/>
        <v>LINK-CONNECTING</v>
      </c>
      <c r="C3492">
        <v>2</v>
      </c>
      <c r="D3492">
        <v>498.98399999999998</v>
      </c>
    </row>
    <row r="3493" spans="1:4">
      <c r="A3493" t="str">
        <f>"28841-40U00"</f>
        <v>28841-40U00</v>
      </c>
      <c r="B3493" t="str">
        <f t="shared" si="70"/>
        <v>LINK-CONNECTING</v>
      </c>
      <c r="C3493">
        <v>11</v>
      </c>
      <c r="D3493">
        <v>546.72</v>
      </c>
    </row>
    <row r="3494" spans="1:4">
      <c r="A3494" t="str">
        <f>"28841-7J100"</f>
        <v>28841-7J100</v>
      </c>
      <c r="B3494" t="str">
        <f t="shared" si="70"/>
        <v>LINK-CONNECTING</v>
      </c>
      <c r="C3494">
        <v>1</v>
      </c>
      <c r="D3494">
        <v>535.29599999999994</v>
      </c>
    </row>
    <row r="3495" spans="1:4">
      <c r="A3495" t="str">
        <f>"28841-81N00"</f>
        <v>28841-81N00</v>
      </c>
      <c r="B3495" t="str">
        <f t="shared" si="70"/>
        <v>LINK-CONNECTING</v>
      </c>
      <c r="C3495">
        <v>3</v>
      </c>
      <c r="D3495">
        <v>574.87199999999996</v>
      </c>
    </row>
    <row r="3496" spans="1:4">
      <c r="A3496" t="str">
        <f>"28841-9W100"</f>
        <v>28841-9W100</v>
      </c>
      <c r="B3496" t="str">
        <f>"Тяга стеклоочистител"</f>
        <v>Тяга стеклоочистител</v>
      </c>
      <c r="C3496">
        <v>60</v>
      </c>
      <c r="D3496">
        <v>481.84800000000001</v>
      </c>
    </row>
    <row r="3497" spans="1:4">
      <c r="A3497" t="str">
        <f>"28841-AU31A"</f>
        <v>28841-AU31A</v>
      </c>
      <c r="B3497" t="str">
        <f>"Тяга стеклоочистител"</f>
        <v>Тяга стеклоочистител</v>
      </c>
      <c r="C3497">
        <v>9</v>
      </c>
      <c r="D3497">
        <v>2078.7599999999998</v>
      </c>
    </row>
    <row r="3498" spans="1:4">
      <c r="A3498" t="str">
        <f>"28841-CA000"</f>
        <v>28841-CA000</v>
      </c>
      <c r="B3498" t="str">
        <f>"Тяга стеклоочистител"</f>
        <v>Тяга стеклоочистител</v>
      </c>
      <c r="C3498">
        <v>33</v>
      </c>
      <c r="D3498">
        <v>432.47999999999996</v>
      </c>
    </row>
    <row r="3499" spans="1:4">
      <c r="A3499" t="str">
        <f>"28841-EB300"</f>
        <v>28841-EB300</v>
      </c>
      <c r="B3499" t="str">
        <f>"Тяга стеклоочистител"</f>
        <v>Тяга стеклоочистител</v>
      </c>
      <c r="C3499">
        <v>9</v>
      </c>
      <c r="D3499">
        <v>518.976</v>
      </c>
    </row>
    <row r="3500" spans="1:4">
      <c r="A3500" t="str">
        <f>"28841-VB00A"</f>
        <v>28841-VB00A</v>
      </c>
      <c r="B3500" t="str">
        <f>"Тяга стеклоочистител"</f>
        <v>Тяга стеклоочистител</v>
      </c>
      <c r="C3500">
        <v>4</v>
      </c>
      <c r="D3500">
        <v>498.57600000000002</v>
      </c>
    </row>
    <row r="3501" spans="1:4">
      <c r="A3501" t="str">
        <f>"28842-01J01"</f>
        <v>28842-01J01</v>
      </c>
      <c r="B3501" t="str">
        <f>"LINK-CONNECTING"</f>
        <v>LINK-CONNECTING</v>
      </c>
      <c r="C3501">
        <v>1</v>
      </c>
      <c r="D3501">
        <v>571.19999999999993</v>
      </c>
    </row>
    <row r="3502" spans="1:4">
      <c r="A3502" t="str">
        <f>"28842-0F000"</f>
        <v>28842-0F000</v>
      </c>
      <c r="B3502" t="str">
        <f>"LINK-CONNECTING"</f>
        <v>LINK-CONNECTING</v>
      </c>
      <c r="C3502">
        <v>2</v>
      </c>
      <c r="D3502">
        <v>594.86400000000003</v>
      </c>
    </row>
    <row r="3503" spans="1:4">
      <c r="A3503" t="str">
        <f>"28842-1M200"</f>
        <v>28842-1M200</v>
      </c>
      <c r="B3503" t="str">
        <f>"LINK-CONNECTING"</f>
        <v>LINK-CONNECTING</v>
      </c>
      <c r="C3503">
        <v>31</v>
      </c>
      <c r="D3503">
        <v>492.048</v>
      </c>
    </row>
    <row r="3504" spans="1:4">
      <c r="A3504" t="str">
        <f>"28842-2Y000"</f>
        <v>28842-2Y000</v>
      </c>
      <c r="B3504" t="str">
        <f>"LINK-CONNECTING"</f>
        <v>LINK-CONNECTING</v>
      </c>
      <c r="C3504">
        <v>6</v>
      </c>
      <c r="D3504">
        <v>494.08799999999997</v>
      </c>
    </row>
    <row r="3505" spans="1:4">
      <c r="A3505" t="str">
        <f>"28842-40U00"</f>
        <v>28842-40U00</v>
      </c>
      <c r="B3505" t="str">
        <f>"LINK-CONNECTING"</f>
        <v>LINK-CONNECTING</v>
      </c>
      <c r="C3505">
        <v>2</v>
      </c>
      <c r="D3505">
        <v>552.43200000000002</v>
      </c>
    </row>
    <row r="3506" spans="1:4">
      <c r="A3506" t="str">
        <f>"28842-50J0C"</f>
        <v>28842-50J0C</v>
      </c>
      <c r="B3506" t="str">
        <f t="shared" ref="B3506:B3511" si="71">"Тяга стеклоочистител"</f>
        <v>Тяга стеклоочистител</v>
      </c>
      <c r="C3506">
        <v>20</v>
      </c>
      <c r="D3506">
        <v>541.00799999999992</v>
      </c>
    </row>
    <row r="3507" spans="1:4">
      <c r="A3507" t="str">
        <f>"28842-9W100"</f>
        <v>28842-9W100</v>
      </c>
      <c r="B3507" t="str">
        <f t="shared" si="71"/>
        <v>Тяга стеклоочистител</v>
      </c>
      <c r="C3507">
        <v>28</v>
      </c>
      <c r="D3507">
        <v>497.76</v>
      </c>
    </row>
    <row r="3508" spans="1:4">
      <c r="A3508" t="str">
        <f>"28842-AU000"</f>
        <v>28842-AU000</v>
      </c>
      <c r="B3508" t="str">
        <f t="shared" si="71"/>
        <v>Тяга стеклоочистител</v>
      </c>
      <c r="C3508">
        <v>8</v>
      </c>
      <c r="D3508">
        <v>489.19200000000001</v>
      </c>
    </row>
    <row r="3509" spans="1:4">
      <c r="A3509" t="str">
        <f>"28842-CA000"</f>
        <v>28842-CA000</v>
      </c>
      <c r="B3509" t="str">
        <f t="shared" si="71"/>
        <v>Тяга стеклоочистител</v>
      </c>
      <c r="C3509">
        <v>11</v>
      </c>
      <c r="D3509">
        <v>439.416</v>
      </c>
    </row>
    <row r="3510" spans="1:4">
      <c r="A3510" t="str">
        <f>"28842-EB300"</f>
        <v>28842-EB300</v>
      </c>
      <c r="B3510" t="str">
        <f t="shared" si="71"/>
        <v>Тяга стеклоочистител</v>
      </c>
      <c r="C3510">
        <v>10</v>
      </c>
      <c r="D3510">
        <v>403.92</v>
      </c>
    </row>
    <row r="3511" spans="1:4">
      <c r="A3511" t="str">
        <f>"28842-VB00A"</f>
        <v>28842-VB00A</v>
      </c>
      <c r="B3511" t="str">
        <f t="shared" si="71"/>
        <v>Тяга стеклоочистител</v>
      </c>
      <c r="C3511">
        <v>10</v>
      </c>
      <c r="D3511">
        <v>514.07999999999993</v>
      </c>
    </row>
    <row r="3512" spans="1:4">
      <c r="A3512" t="str">
        <f>"28850-0F000"</f>
        <v>28850-0F000</v>
      </c>
      <c r="B3512" t="str">
        <f>"PIVOT-WIPER"</f>
        <v>PIVOT-WIPER</v>
      </c>
      <c r="C3512">
        <v>4</v>
      </c>
      <c r="D3512">
        <v>1176.2639999999999</v>
      </c>
    </row>
    <row r="3513" spans="1:4">
      <c r="A3513" t="str">
        <f>"28850-0W00C"</f>
        <v>28850-0W00C</v>
      </c>
      <c r="B3513" t="str">
        <f>"Рычаг механизма стек"</f>
        <v>Рычаг механизма стек</v>
      </c>
      <c r="C3513">
        <v>2</v>
      </c>
      <c r="D3513">
        <v>1146.0719999999999</v>
      </c>
    </row>
    <row r="3514" spans="1:4">
      <c r="A3514" t="str">
        <f>"28850-1M200"</f>
        <v>28850-1M200</v>
      </c>
      <c r="B3514" t="str">
        <f>"PIVOT-WIPER"</f>
        <v>PIVOT-WIPER</v>
      </c>
      <c r="C3514">
        <v>26</v>
      </c>
      <c r="D3514">
        <v>1045.704</v>
      </c>
    </row>
    <row r="3515" spans="1:4">
      <c r="A3515" t="str">
        <f>"28850-2Y900"</f>
        <v>28850-2Y900</v>
      </c>
      <c r="B3515" t="str">
        <f>"PIVOT ASSY-WIPE"</f>
        <v>PIVOT ASSY-WIPE</v>
      </c>
      <c r="C3515">
        <v>3</v>
      </c>
      <c r="D3515">
        <v>1110.576</v>
      </c>
    </row>
    <row r="3516" spans="1:4">
      <c r="A3516" t="str">
        <f>"28850-2Y910"</f>
        <v>28850-2Y910</v>
      </c>
      <c r="B3516" t="str">
        <f>"PIVOT-WIPER"</f>
        <v>PIVOT-WIPER</v>
      </c>
      <c r="C3516">
        <v>1</v>
      </c>
      <c r="D3516">
        <v>1055.088</v>
      </c>
    </row>
    <row r="3517" spans="1:4">
      <c r="A3517" t="str">
        <f>"28850-3J100"</f>
        <v>28850-3J100</v>
      </c>
      <c r="B3517" t="str">
        <f>"PIVOT-WIPER"</f>
        <v>PIVOT-WIPER</v>
      </c>
      <c r="C3517">
        <v>5</v>
      </c>
      <c r="D3517">
        <v>1033.8719999999998</v>
      </c>
    </row>
    <row r="3518" spans="1:4">
      <c r="A3518" t="str">
        <f>"28850-40U00"</f>
        <v>28850-40U00</v>
      </c>
      <c r="B3518" t="str">
        <f>"PIVOT-WIPER"</f>
        <v>PIVOT-WIPER</v>
      </c>
      <c r="C3518">
        <v>14</v>
      </c>
      <c r="D3518">
        <v>1152.192</v>
      </c>
    </row>
    <row r="3519" spans="1:4">
      <c r="A3519" t="str">
        <f>"28850-70N00"</f>
        <v>28850-70N00</v>
      </c>
      <c r="B3519" t="str">
        <f>"PIVOT-WIPER"</f>
        <v>PIVOT-WIPER</v>
      </c>
      <c r="C3519">
        <v>22</v>
      </c>
      <c r="D3519">
        <v>1230.528</v>
      </c>
    </row>
    <row r="3520" spans="1:4">
      <c r="A3520" t="str">
        <f>"28850-85E00"</f>
        <v>28850-85E00</v>
      </c>
      <c r="B3520" t="str">
        <f>"PIVOT ASSY-WIPE"</f>
        <v>PIVOT ASSY-WIPE</v>
      </c>
      <c r="C3520">
        <v>1</v>
      </c>
      <c r="D3520">
        <v>1000.4159999999999</v>
      </c>
    </row>
    <row r="3521" spans="1:4">
      <c r="A3521" t="str">
        <f>"28850-VB00A"</f>
        <v>28850-VB00A</v>
      </c>
      <c r="B3521" t="str">
        <f>"Рычаг механизма стек"</f>
        <v>Рычаг механизма стек</v>
      </c>
      <c r="C3521">
        <v>4</v>
      </c>
      <c r="D3521">
        <v>1070.5919999999999</v>
      </c>
    </row>
    <row r="3522" spans="1:4">
      <c r="A3522" t="str">
        <f>"28850-VB200"</f>
        <v>28850-VB200</v>
      </c>
      <c r="B3522" t="str">
        <f>"Рычаг механизма стек"</f>
        <v>Рычаг механизма стек</v>
      </c>
      <c r="C3522">
        <v>1</v>
      </c>
      <c r="D3522">
        <v>1099.152</v>
      </c>
    </row>
    <row r="3523" spans="1:4">
      <c r="A3523" t="str">
        <f>"28850-VB20A"</f>
        <v>28850-VB20A</v>
      </c>
      <c r="B3523" t="str">
        <f>"Рычаг механизма стек"</f>
        <v>Рычаг механизма стек</v>
      </c>
      <c r="C3523">
        <v>4</v>
      </c>
      <c r="D3523">
        <v>1099.152</v>
      </c>
    </row>
    <row r="3524" spans="1:4">
      <c r="A3524" t="str">
        <f>"28860-06J01"</f>
        <v>28860-06J01</v>
      </c>
      <c r="B3524" t="str">
        <f>"PIVOT-WIPER"</f>
        <v>PIVOT-WIPER</v>
      </c>
      <c r="C3524">
        <v>0</v>
      </c>
      <c r="D3524">
        <v>728.68799999999999</v>
      </c>
    </row>
    <row r="3525" spans="1:4">
      <c r="A3525" t="str">
        <f>"28860-0F000"</f>
        <v>28860-0F000</v>
      </c>
      <c r="B3525" t="str">
        <f>"PIVOT-WIPER"</f>
        <v>PIVOT-WIPER</v>
      </c>
      <c r="C3525">
        <v>5</v>
      </c>
      <c r="D3525">
        <v>1097.1119999999999</v>
      </c>
    </row>
    <row r="3526" spans="1:4">
      <c r="A3526" t="str">
        <f>"28860-0W00C"</f>
        <v>28860-0W00C</v>
      </c>
      <c r="B3526" t="str">
        <f>"Рычаг механизма стек"</f>
        <v>Рычаг механизма стек</v>
      </c>
      <c r="C3526">
        <v>1</v>
      </c>
      <c r="D3526">
        <v>1155.864</v>
      </c>
    </row>
    <row r="3527" spans="1:4">
      <c r="A3527" t="str">
        <f>"28860-2Y000"</f>
        <v>28860-2Y000</v>
      </c>
      <c r="B3527" t="str">
        <f>"PIVOT-WIPER"</f>
        <v>PIVOT-WIPER</v>
      </c>
      <c r="C3527">
        <v>8</v>
      </c>
      <c r="D3527">
        <v>1073.04</v>
      </c>
    </row>
    <row r="3528" spans="1:4">
      <c r="A3528" t="str">
        <f>"28860-3J100"</f>
        <v>28860-3J100</v>
      </c>
      <c r="B3528" t="str">
        <f>"PIVOT-WIPER"</f>
        <v>PIVOT-WIPER</v>
      </c>
      <c r="C3528">
        <v>23</v>
      </c>
      <c r="D3528">
        <v>1165.2479999999998</v>
      </c>
    </row>
    <row r="3529" spans="1:4">
      <c r="A3529" t="str">
        <f>"28860-41B00"</f>
        <v>28860-41B00</v>
      </c>
      <c r="B3529" t="str">
        <f>"PIVOT-WIPER"</f>
        <v>PIVOT-WIPER</v>
      </c>
      <c r="C3529">
        <v>0</v>
      </c>
      <c r="D3529">
        <v>1213.8</v>
      </c>
    </row>
    <row r="3530" spans="1:4">
      <c r="A3530" t="str">
        <f>"28860-VB00A"</f>
        <v>28860-VB00A</v>
      </c>
      <c r="B3530" t="str">
        <f>"Рычаг механизма стек"</f>
        <v>Рычаг механизма стек</v>
      </c>
      <c r="C3530">
        <v>10</v>
      </c>
      <c r="D3530">
        <v>1074.6719999999998</v>
      </c>
    </row>
    <row r="3531" spans="1:4">
      <c r="A3531" t="str">
        <f>"28860-VD30A"</f>
        <v>28860-VD30A</v>
      </c>
      <c r="B3531" t="str">
        <f>"Рычаг механизма стек"</f>
        <v>Рычаг механизма стек</v>
      </c>
      <c r="C3531">
        <v>10</v>
      </c>
      <c r="D3531">
        <v>1066.92</v>
      </c>
    </row>
    <row r="3532" spans="1:4">
      <c r="A3532" t="str">
        <f>"28881-1N600"</f>
        <v>28881-1N600</v>
      </c>
      <c r="B3532" t="str">
        <f>"ARM ASSY-WIPER"</f>
        <v>ARM ASSY-WIPER</v>
      </c>
      <c r="C3532">
        <v>4</v>
      </c>
      <c r="D3532">
        <v>1106.904</v>
      </c>
    </row>
    <row r="3533" spans="1:4">
      <c r="A3533" t="str">
        <f>"28881-2Y90A"</f>
        <v>28881-2Y90A</v>
      </c>
      <c r="B3533" t="str">
        <f>"Тяга щетки стеклоочи"</f>
        <v>Тяга щетки стеклоочи</v>
      </c>
      <c r="C3533">
        <v>7</v>
      </c>
      <c r="D3533">
        <v>1436.1599999999999</v>
      </c>
    </row>
    <row r="3534" spans="1:4">
      <c r="A3534" t="str">
        <f>"28881-8H900"</f>
        <v>28881-8H900</v>
      </c>
      <c r="B3534" t="str">
        <f>"ARM ASSY-WIPER"</f>
        <v>ARM ASSY-WIPER</v>
      </c>
      <c r="C3534">
        <v>7</v>
      </c>
      <c r="D3534">
        <v>1467.9839999999999</v>
      </c>
    </row>
    <row r="3535" spans="1:4">
      <c r="A3535" t="str">
        <f>"28881-95F0A"</f>
        <v>28881-95F0A</v>
      </c>
      <c r="B3535" t="str">
        <f>"Поводок стеклоочисти"</f>
        <v>Поводок стеклоочисти</v>
      </c>
      <c r="C3535">
        <v>4</v>
      </c>
      <c r="D3535">
        <v>1574.472</v>
      </c>
    </row>
    <row r="3536" spans="1:4">
      <c r="A3536" t="str">
        <f>"28881-95F0B"</f>
        <v>28881-95F0B</v>
      </c>
      <c r="B3536" t="str">
        <f>"Поводок стеклоочисти"</f>
        <v>Поводок стеклоочисти</v>
      </c>
      <c r="C3536">
        <v>1</v>
      </c>
      <c r="D3536">
        <v>1186.8719999999998</v>
      </c>
    </row>
    <row r="3537" spans="1:4">
      <c r="A3537" t="str">
        <f>"28881-9U100"</f>
        <v>28881-9U100</v>
      </c>
      <c r="B3537" t="str">
        <f>"Поводок стеклоочисти"</f>
        <v>Поводок стеклоочисти</v>
      </c>
      <c r="C3537">
        <v>8</v>
      </c>
      <c r="D3537">
        <v>1551.624</v>
      </c>
    </row>
    <row r="3538" spans="1:4">
      <c r="A3538" t="str">
        <f>"28881-9W100"</f>
        <v>28881-9W100</v>
      </c>
      <c r="B3538" t="str">
        <f>"Поводок стеклоочисти"</f>
        <v>Поводок стеклоочисти</v>
      </c>
      <c r="C3538">
        <v>6</v>
      </c>
      <c r="D3538">
        <v>1416.576</v>
      </c>
    </row>
    <row r="3539" spans="1:4">
      <c r="A3539" t="str">
        <f>"28881-AU312"</f>
        <v>28881-AU312</v>
      </c>
      <c r="B3539" t="str">
        <f>"ARM ASSY-WINDSH"</f>
        <v>ARM ASSY-WINDSH</v>
      </c>
      <c r="C3539">
        <v>2</v>
      </c>
      <c r="D3539">
        <v>1674.84</v>
      </c>
    </row>
    <row r="3540" spans="1:4">
      <c r="A3540" t="str">
        <f>"28881-BN002"</f>
        <v>28881-BN002</v>
      </c>
      <c r="B3540" t="str">
        <f>"ARM ASSY-WINDSH"</f>
        <v>ARM ASSY-WINDSH</v>
      </c>
      <c r="C3540">
        <v>0</v>
      </c>
      <c r="D3540">
        <v>1770.7199999999998</v>
      </c>
    </row>
    <row r="3541" spans="1:4">
      <c r="A3541" t="str">
        <f>"28881-CC00A"</f>
        <v>28881-CC00A</v>
      </c>
      <c r="B3541" t="str">
        <f>"Поводок стеклоочисти"</f>
        <v>Поводок стеклоочисти</v>
      </c>
      <c r="C3541">
        <v>2</v>
      </c>
      <c r="D3541">
        <v>2191.3679999999999</v>
      </c>
    </row>
    <row r="3542" spans="1:4">
      <c r="A3542" t="str">
        <f>"28881-CG005"</f>
        <v>28881-CG005</v>
      </c>
      <c r="B3542" t="str">
        <f>"ARM ASSY-WIPER"</f>
        <v>ARM ASSY-WIPER</v>
      </c>
      <c r="C3542">
        <v>13</v>
      </c>
      <c r="D3542">
        <v>1508.7839999999999</v>
      </c>
    </row>
    <row r="3543" spans="1:4">
      <c r="A3543" t="str">
        <f>"28881-JG400"</f>
        <v>28881-JG400</v>
      </c>
      <c r="B3543" t="str">
        <f>"Поводок стеклоочисти"</f>
        <v>Поводок стеклоочисти</v>
      </c>
      <c r="C3543">
        <v>5</v>
      </c>
      <c r="D3543">
        <v>1512.048</v>
      </c>
    </row>
    <row r="3544" spans="1:4">
      <c r="A3544" t="str">
        <f>"28881-ZN90A"</f>
        <v>28881-ZN90A</v>
      </c>
      <c r="B3544" t="str">
        <f>"Поводок стеклоочисти"</f>
        <v>Поводок стеклоочисти</v>
      </c>
      <c r="C3544">
        <v>2</v>
      </c>
      <c r="D3544">
        <v>1118.328</v>
      </c>
    </row>
    <row r="3545" spans="1:4">
      <c r="A3545" t="str">
        <f>"28882-4N000"</f>
        <v>28882-4N000</v>
      </c>
      <c r="B3545" t="str">
        <f>"Крышка поводка стекл"</f>
        <v>Крышка поводка стекл</v>
      </c>
      <c r="C3545">
        <v>9</v>
      </c>
      <c r="D3545">
        <v>70.175999999999988</v>
      </c>
    </row>
    <row r="3546" spans="1:4">
      <c r="A3546" t="str">
        <f>"28882-6J000"</f>
        <v>28882-6J000</v>
      </c>
      <c r="B3546" t="str">
        <f>"COVER-WIPER ARM"</f>
        <v>COVER-WIPER ARM</v>
      </c>
      <c r="C3546">
        <v>16</v>
      </c>
      <c r="D3546">
        <v>68.135999999999996</v>
      </c>
    </row>
    <row r="3547" spans="1:4">
      <c r="A3547" t="str">
        <f>"28882-AU300"</f>
        <v>28882-AU300</v>
      </c>
      <c r="B3547" t="str">
        <f>"COVER-WIPER ARM"</f>
        <v>COVER-WIPER ARM</v>
      </c>
      <c r="C3547">
        <v>25</v>
      </c>
      <c r="D3547">
        <v>67.319999999999993</v>
      </c>
    </row>
    <row r="3548" spans="1:4">
      <c r="A3548" t="str">
        <f>"28882-EB400"</f>
        <v>28882-EB400</v>
      </c>
      <c r="B3548" t="str">
        <f>"Крышка поводка стекл"</f>
        <v>Крышка поводка стекл</v>
      </c>
      <c r="C3548">
        <v>53</v>
      </c>
      <c r="D3548">
        <v>138.72</v>
      </c>
    </row>
    <row r="3549" spans="1:4">
      <c r="A3549" t="str">
        <f>"28882-JG40A"</f>
        <v>28882-JG40A</v>
      </c>
      <c r="B3549" t="str">
        <f>"Крышка поводка стекл"</f>
        <v>Крышка поводка стекл</v>
      </c>
      <c r="C3549">
        <v>11</v>
      </c>
      <c r="D3549">
        <v>71.808000000000007</v>
      </c>
    </row>
    <row r="3550" spans="1:4">
      <c r="A3550" t="str">
        <f>"28882-VB000"</f>
        <v>28882-VB000</v>
      </c>
      <c r="B3550" t="str">
        <f>"COVER-WIPER ARM"</f>
        <v>COVER-WIPER ARM</v>
      </c>
      <c r="C3550">
        <v>4</v>
      </c>
      <c r="D3550">
        <v>72.215999999999994</v>
      </c>
    </row>
    <row r="3551" spans="1:4">
      <c r="A3551" t="str">
        <f>"28885-71J01"</f>
        <v>28885-71J01</v>
      </c>
      <c r="B3551" t="str">
        <f>"ARM ASSY-WINDSH"</f>
        <v>ARM ASSY-WINDSH</v>
      </c>
      <c r="C3551">
        <v>1</v>
      </c>
      <c r="D3551">
        <v>1372.9199999999998</v>
      </c>
    </row>
    <row r="3552" spans="1:4">
      <c r="A3552" t="str">
        <f>"28886-1N600"</f>
        <v>28886-1N600</v>
      </c>
      <c r="B3552" t="str">
        <f>"ARM ASSY-WIPER"</f>
        <v>ARM ASSY-WIPER</v>
      </c>
      <c r="C3552">
        <v>3</v>
      </c>
      <c r="D3552">
        <v>1101.192</v>
      </c>
    </row>
    <row r="3553" spans="1:4">
      <c r="A3553" t="str">
        <f>"28886-3Y60A"</f>
        <v>28886-3Y60A</v>
      </c>
      <c r="B3553" t="str">
        <f>"Поводок стеклоочисти"</f>
        <v>Поводок стеклоочисти</v>
      </c>
      <c r="C3553">
        <v>3</v>
      </c>
      <c r="D3553">
        <v>1466.3520000000001</v>
      </c>
    </row>
    <row r="3554" spans="1:4">
      <c r="A3554" t="str">
        <f>"28886-8H900"</f>
        <v>28886-8H900</v>
      </c>
      <c r="B3554" t="str">
        <f>"ARM ASSY-WINDSH"</f>
        <v>ARM ASSY-WINDSH</v>
      </c>
      <c r="C3554">
        <v>8</v>
      </c>
      <c r="D3554">
        <v>1543.056</v>
      </c>
    </row>
    <row r="3555" spans="1:4">
      <c r="A3555" t="str">
        <f>"28886-9U100"</f>
        <v>28886-9U100</v>
      </c>
      <c r="B3555" t="str">
        <f>"Поводок стеклоочисти"</f>
        <v>Поводок стеклоочисти</v>
      </c>
      <c r="C3555">
        <v>0</v>
      </c>
      <c r="D3555">
        <v>1885.7759999999998</v>
      </c>
    </row>
    <row r="3556" spans="1:4">
      <c r="A3556" t="str">
        <f>"28886-9W100"</f>
        <v>28886-9W100</v>
      </c>
      <c r="B3556" t="str">
        <f>"Поводок стеклоочисти"</f>
        <v>Поводок стеклоочисти</v>
      </c>
      <c r="C3556">
        <v>7</v>
      </c>
      <c r="D3556">
        <v>1479.4079999999999</v>
      </c>
    </row>
    <row r="3557" spans="1:4">
      <c r="A3557" t="str">
        <f>"28886-BA31A"</f>
        <v>28886-BA31A</v>
      </c>
      <c r="B3557" t="str">
        <f>"Поводок стеклоочисти"</f>
        <v>Поводок стеклоочисти</v>
      </c>
      <c r="C3557">
        <v>2</v>
      </c>
      <c r="D3557">
        <v>1152.192</v>
      </c>
    </row>
    <row r="3558" spans="1:4">
      <c r="A3558" t="str">
        <f>"28886-BN002"</f>
        <v>28886-BN002</v>
      </c>
      <c r="B3558" t="str">
        <f>"ARM ASSY-WINDSH"</f>
        <v>ARM ASSY-WINDSH</v>
      </c>
      <c r="C3558">
        <v>3</v>
      </c>
      <c r="D3558">
        <v>1506.336</v>
      </c>
    </row>
    <row r="3559" spans="1:4">
      <c r="A3559" t="str">
        <f>"28886-CG005"</f>
        <v>28886-CG005</v>
      </c>
      <c r="B3559" t="str">
        <f>"Поводок стеклоочисти"</f>
        <v>Поводок стеклоочисти</v>
      </c>
      <c r="C3559">
        <v>7</v>
      </c>
      <c r="D3559">
        <v>1436.9759999999999</v>
      </c>
    </row>
    <row r="3560" spans="1:4">
      <c r="A3560" t="str">
        <f>"28886-EM30A"</f>
        <v>28886-EM30A</v>
      </c>
      <c r="B3560" t="str">
        <f>"Поводок стеклоочести"</f>
        <v>Поводок стеклоочести</v>
      </c>
      <c r="C3560">
        <v>4</v>
      </c>
      <c r="D3560">
        <v>977.15999999999985</v>
      </c>
    </row>
    <row r="3561" spans="1:4">
      <c r="A3561" t="str">
        <f>"28886-JD900"</f>
        <v>28886-JD900</v>
      </c>
      <c r="B3561" t="str">
        <f>"Поводок стеклоочисти"</f>
        <v>Поводок стеклоочисти</v>
      </c>
      <c r="C3561">
        <v>1</v>
      </c>
      <c r="D3561">
        <v>2127.3119999999999</v>
      </c>
    </row>
    <row r="3562" spans="1:4">
      <c r="A3562" t="str">
        <f>"28886-JG400"</f>
        <v>28886-JG400</v>
      </c>
      <c r="B3562" t="str">
        <f>"Поводок стеклоочисти"</f>
        <v>Поводок стеклоочисти</v>
      </c>
      <c r="C3562">
        <v>0</v>
      </c>
      <c r="D3562">
        <v>1536.9359999999999</v>
      </c>
    </row>
    <row r="3563" spans="1:4">
      <c r="A3563" t="str">
        <f>"28889-01G0A"</f>
        <v>28889-01G0A</v>
      </c>
      <c r="B3563" t="str">
        <f>"Гайка поводка стекло"</f>
        <v>Гайка поводка стекло</v>
      </c>
      <c r="C3563">
        <v>8</v>
      </c>
      <c r="D3563">
        <v>88.944000000000003</v>
      </c>
    </row>
    <row r="3564" spans="1:4">
      <c r="A3564" t="str">
        <f>"28889-50J1A"</f>
        <v>28889-50J1A</v>
      </c>
      <c r="B3564" t="str">
        <f>"Гайка поводка стекло"</f>
        <v>Гайка поводка стекло</v>
      </c>
      <c r="C3564">
        <v>11</v>
      </c>
      <c r="D3564">
        <v>62.423999999999999</v>
      </c>
    </row>
    <row r="3565" spans="1:4">
      <c r="A3565" t="str">
        <f>"28890-1AA0A"</f>
        <v>28890-1AA0A</v>
      </c>
      <c r="B3565" t="str">
        <f t="shared" ref="B3565:B3586" si="72">"Щетка стеклоочистите"</f>
        <v>Щетка стеклоочистите</v>
      </c>
      <c r="C3565">
        <v>19</v>
      </c>
      <c r="D3565">
        <v>1059.576</v>
      </c>
    </row>
    <row r="3566" spans="1:4">
      <c r="A3566" t="str">
        <f>"28890-1AA0B"</f>
        <v>28890-1AA0B</v>
      </c>
      <c r="B3566" t="str">
        <f t="shared" si="72"/>
        <v>Щетка стеклоочистите</v>
      </c>
      <c r="C3566">
        <v>9</v>
      </c>
      <c r="D3566">
        <v>1060.3919999999998</v>
      </c>
    </row>
    <row r="3567" spans="1:4">
      <c r="A3567" t="str">
        <f>"28890-1AA1A"</f>
        <v>28890-1AA1A</v>
      </c>
      <c r="B3567" t="str">
        <f t="shared" si="72"/>
        <v>Щетка стеклоочистите</v>
      </c>
      <c r="C3567">
        <v>20</v>
      </c>
      <c r="D3567">
        <v>862.92</v>
      </c>
    </row>
    <row r="3568" spans="1:4">
      <c r="A3568" t="str">
        <f>"28890-1AA1B"</f>
        <v>28890-1AA1B</v>
      </c>
      <c r="B3568" t="str">
        <f t="shared" si="72"/>
        <v>Щетка стеклоочистите</v>
      </c>
      <c r="C3568">
        <v>12</v>
      </c>
      <c r="D3568">
        <v>706.24799999999993</v>
      </c>
    </row>
    <row r="3569" spans="1:4">
      <c r="A3569" t="str">
        <f>"28890-1BA0A"</f>
        <v>28890-1BA0A</v>
      </c>
      <c r="B3569" t="str">
        <f t="shared" si="72"/>
        <v>Щетка стеклоочистите</v>
      </c>
      <c r="C3569">
        <v>20</v>
      </c>
      <c r="D3569">
        <v>826.19999999999993</v>
      </c>
    </row>
    <row r="3570" spans="1:4">
      <c r="A3570" t="str">
        <f>"28890-1BA1A"</f>
        <v>28890-1BA1A</v>
      </c>
      <c r="B3570" t="str">
        <f t="shared" si="72"/>
        <v>Щетка стеклоочистите</v>
      </c>
      <c r="C3570">
        <v>24</v>
      </c>
      <c r="D3570">
        <v>582.62399999999991</v>
      </c>
    </row>
    <row r="3571" spans="1:4">
      <c r="A3571" t="str">
        <f>"28890-1CA0A"</f>
        <v>28890-1CA0A</v>
      </c>
      <c r="B3571" t="str">
        <f t="shared" si="72"/>
        <v>Щетка стеклоочистите</v>
      </c>
      <c r="C3571">
        <v>46</v>
      </c>
      <c r="D3571">
        <v>786.62399999999991</v>
      </c>
    </row>
    <row r="3572" spans="1:4">
      <c r="A3572" t="str">
        <f>"28890-1CA1A"</f>
        <v>28890-1CA1A</v>
      </c>
      <c r="B3572" t="str">
        <f t="shared" si="72"/>
        <v>Щетка стеклоочистите</v>
      </c>
      <c r="C3572">
        <v>40</v>
      </c>
      <c r="D3572">
        <v>589.55999999999995</v>
      </c>
    </row>
    <row r="3573" spans="1:4">
      <c r="A3573" t="str">
        <f>"28890-1KE1A"</f>
        <v>28890-1KE1A</v>
      </c>
      <c r="B3573" t="str">
        <f t="shared" si="72"/>
        <v>Щетка стеклоочистите</v>
      </c>
      <c r="C3573">
        <v>0</v>
      </c>
      <c r="D3573">
        <v>449.61599999999999</v>
      </c>
    </row>
    <row r="3574" spans="1:4">
      <c r="A3574" t="str">
        <f>"28890-1LB0A"</f>
        <v>28890-1LB0A</v>
      </c>
      <c r="B3574" t="str">
        <f t="shared" si="72"/>
        <v>Щетка стеклоочистите</v>
      </c>
      <c r="C3574">
        <v>7</v>
      </c>
      <c r="D3574">
        <v>659.73599999999999</v>
      </c>
    </row>
    <row r="3575" spans="1:4">
      <c r="A3575" t="str">
        <f>"28890-1LB1A"</f>
        <v>28890-1LB1A</v>
      </c>
      <c r="B3575" t="str">
        <f t="shared" si="72"/>
        <v>Щетка стеклоочистите</v>
      </c>
      <c r="C3575">
        <v>14</v>
      </c>
      <c r="D3575">
        <v>527.54399999999998</v>
      </c>
    </row>
    <row r="3576" spans="1:4">
      <c r="A3576" t="str">
        <f>"28890-1MA0A"</f>
        <v>28890-1MA0A</v>
      </c>
      <c r="B3576" t="str">
        <f t="shared" si="72"/>
        <v>Щетка стеклоочистите</v>
      </c>
      <c r="C3576">
        <v>12</v>
      </c>
      <c r="D3576">
        <v>829.87199999999996</v>
      </c>
    </row>
    <row r="3577" spans="1:4">
      <c r="A3577" t="str">
        <f>"28890-1MA1A"</f>
        <v>28890-1MA1A</v>
      </c>
      <c r="B3577" t="str">
        <f t="shared" si="72"/>
        <v>Щетка стеклоочистите</v>
      </c>
      <c r="C3577">
        <v>18</v>
      </c>
      <c r="D3577">
        <v>672.38400000000001</v>
      </c>
    </row>
    <row r="3578" spans="1:4">
      <c r="A3578" t="str">
        <f>"28890-5X10A"</f>
        <v>28890-5X10A</v>
      </c>
      <c r="B3578" t="str">
        <f t="shared" si="72"/>
        <v>Щетка стеклоочистите</v>
      </c>
      <c r="C3578">
        <v>2</v>
      </c>
      <c r="D3578">
        <v>725.42399999999998</v>
      </c>
    </row>
    <row r="3579" spans="1:4">
      <c r="A3579" t="str">
        <f>"28890-5X11A"</f>
        <v>28890-5X11A</v>
      </c>
      <c r="B3579" t="str">
        <f t="shared" si="72"/>
        <v>Щетка стеклоочистите</v>
      </c>
      <c r="C3579">
        <v>6</v>
      </c>
      <c r="D3579">
        <v>527.54399999999998</v>
      </c>
    </row>
    <row r="3580" spans="1:4">
      <c r="A3580" t="str">
        <f>"28890-95F0E"</f>
        <v>28890-95F0E</v>
      </c>
      <c r="B3580" t="str">
        <f t="shared" si="72"/>
        <v>Щетка стеклоочистите</v>
      </c>
      <c r="C3580">
        <v>8</v>
      </c>
      <c r="D3580">
        <v>527.54399999999998</v>
      </c>
    </row>
    <row r="3581" spans="1:4">
      <c r="A3581" t="str">
        <f>"28890-95F0F"</f>
        <v>28890-95F0F</v>
      </c>
      <c r="B3581" t="str">
        <f t="shared" si="72"/>
        <v>Щетка стеклоочистите</v>
      </c>
      <c r="C3581">
        <v>16</v>
      </c>
      <c r="D3581">
        <v>555.28800000000001</v>
      </c>
    </row>
    <row r="3582" spans="1:4">
      <c r="A3582" t="str">
        <f>"28890-9CA1A"</f>
        <v>28890-9CA1A</v>
      </c>
      <c r="B3582" t="str">
        <f t="shared" si="72"/>
        <v>Щетка стеклоочистите</v>
      </c>
      <c r="C3582">
        <v>11</v>
      </c>
      <c r="D3582">
        <v>685.44</v>
      </c>
    </row>
    <row r="3583" spans="1:4">
      <c r="A3583" t="str">
        <f>"28890-9U100"</f>
        <v>28890-9U100</v>
      </c>
      <c r="B3583" t="str">
        <f t="shared" si="72"/>
        <v>Щетка стеклоочистите</v>
      </c>
      <c r="C3583">
        <v>6</v>
      </c>
      <c r="D3583">
        <v>375.76799999999997</v>
      </c>
    </row>
    <row r="3584" spans="1:4">
      <c r="A3584" t="str">
        <f>"28890-9U110"</f>
        <v>28890-9U110</v>
      </c>
      <c r="B3584" t="str">
        <f t="shared" si="72"/>
        <v>Щетка стеклоочистите</v>
      </c>
      <c r="C3584">
        <v>6</v>
      </c>
      <c r="D3584">
        <v>326.39999999999998</v>
      </c>
    </row>
    <row r="3585" spans="1:4">
      <c r="A3585" t="str">
        <f>"28890-9W105"</f>
        <v>28890-9W105</v>
      </c>
      <c r="B3585" t="str">
        <f t="shared" si="72"/>
        <v>Щетка стеклоочистите</v>
      </c>
      <c r="C3585">
        <v>15</v>
      </c>
      <c r="D3585">
        <v>714.40800000000002</v>
      </c>
    </row>
    <row r="3586" spans="1:4">
      <c r="A3586" t="str">
        <f>"28890-9W110"</f>
        <v>28890-9W110</v>
      </c>
      <c r="B3586" t="str">
        <f t="shared" si="72"/>
        <v>Щетка стеклоочистите</v>
      </c>
      <c r="C3586">
        <v>22</v>
      </c>
      <c r="D3586">
        <v>523.46400000000006</v>
      </c>
    </row>
    <row r="3587" spans="1:4">
      <c r="A3587" t="str">
        <f>"28890-AU310"</f>
        <v>28890-AU310</v>
      </c>
      <c r="B3587" t="str">
        <f>"BLADE ASSY-WIND"</f>
        <v>BLADE ASSY-WIND</v>
      </c>
      <c r="C3587">
        <v>5</v>
      </c>
      <c r="D3587">
        <v>489.19200000000001</v>
      </c>
    </row>
    <row r="3588" spans="1:4">
      <c r="A3588" t="str">
        <f>"28890-AU311"</f>
        <v>28890-AU311</v>
      </c>
      <c r="B3588" t="str">
        <f>"BLADE ASSY-WIND"</f>
        <v>BLADE ASSY-WIND</v>
      </c>
      <c r="C3588">
        <v>4</v>
      </c>
      <c r="D3588">
        <v>395.35199999999998</v>
      </c>
    </row>
    <row r="3589" spans="1:4">
      <c r="A3589" t="str">
        <f>"28890-AX610"</f>
        <v>28890-AX610</v>
      </c>
      <c r="B3589" t="str">
        <f>"BLADE ASSY-WIND"</f>
        <v>BLADE ASSY-WIND</v>
      </c>
      <c r="C3589">
        <v>4</v>
      </c>
      <c r="D3589">
        <v>351.69599999999997</v>
      </c>
    </row>
    <row r="3590" spans="1:4">
      <c r="A3590" t="str">
        <f>"28890-AX700"</f>
        <v>28890-AX700</v>
      </c>
      <c r="B3590" t="str">
        <f>"BLADE ASSY-WIND"</f>
        <v>BLADE ASSY-WIND</v>
      </c>
      <c r="C3590">
        <v>46</v>
      </c>
      <c r="D3590">
        <v>505.51199999999994</v>
      </c>
    </row>
    <row r="3591" spans="1:4">
      <c r="A3591" t="str">
        <f>"28890-CA000"</f>
        <v>28890-CA000</v>
      </c>
      <c r="B3591" t="str">
        <f>"BLADE-WIPER"</f>
        <v>BLADE-WIPER</v>
      </c>
      <c r="C3591">
        <v>9</v>
      </c>
      <c r="D3591">
        <v>689.11199999999997</v>
      </c>
    </row>
    <row r="3592" spans="1:4">
      <c r="A3592" t="str">
        <f>"28890-CA010"</f>
        <v>28890-CA010</v>
      </c>
      <c r="B3592" t="str">
        <f>"BLADE-WIPER"</f>
        <v>BLADE-WIPER</v>
      </c>
      <c r="C3592">
        <v>6</v>
      </c>
      <c r="D3592">
        <v>451.24799999999999</v>
      </c>
    </row>
    <row r="3593" spans="1:4">
      <c r="A3593" t="str">
        <f>"28890-CC00B"</f>
        <v>28890-CC00B</v>
      </c>
      <c r="B3593" t="str">
        <f>"Щетка стеклоочистите"</f>
        <v>Щетка стеклоочистите</v>
      </c>
      <c r="C3593">
        <v>34</v>
      </c>
      <c r="D3593">
        <v>1147.296</v>
      </c>
    </row>
    <row r="3594" spans="1:4">
      <c r="A3594" t="str">
        <f>"28890-CC01B"</f>
        <v>28890-CC01B</v>
      </c>
      <c r="B3594" t="str">
        <f>"Щетка стеклоочистите"</f>
        <v>Щетка стеклоочистите</v>
      </c>
      <c r="C3594">
        <v>32</v>
      </c>
      <c r="D3594">
        <v>794.37599999999998</v>
      </c>
    </row>
    <row r="3595" spans="1:4">
      <c r="A3595" t="str">
        <f>"28890-CG010"</f>
        <v>28890-CG010</v>
      </c>
      <c r="B3595" t="str">
        <f>"BLADE-WIPER"</f>
        <v>BLADE-WIPER</v>
      </c>
      <c r="C3595">
        <v>35</v>
      </c>
      <c r="D3595">
        <v>494.904</v>
      </c>
    </row>
    <row r="3596" spans="1:4">
      <c r="A3596" t="str">
        <f>"28890-CG01C"</f>
        <v>28890-CG01C</v>
      </c>
      <c r="B3596" t="str">
        <f>"Щетка стеклоочистите"</f>
        <v>Щетка стеклоочистите</v>
      </c>
      <c r="C3596">
        <v>43</v>
      </c>
      <c r="D3596">
        <v>640.15200000000004</v>
      </c>
    </row>
    <row r="3597" spans="1:4">
      <c r="A3597" t="str">
        <f>"28890-CM30B"</f>
        <v>28890-CM30B</v>
      </c>
      <c r="B3597" t="str">
        <f>"Щетка стеклоочистите"</f>
        <v>Щетка стеклоочистите</v>
      </c>
      <c r="C3597">
        <v>10</v>
      </c>
      <c r="D3597">
        <v>739.70399999999995</v>
      </c>
    </row>
    <row r="3598" spans="1:4">
      <c r="A3598" t="str">
        <f>"28890-EB400"</f>
        <v>28890-EB400</v>
      </c>
      <c r="B3598" t="str">
        <f>"BLADE ASSY-WIND"</f>
        <v>BLADE ASSY-WIND</v>
      </c>
      <c r="C3598">
        <v>11</v>
      </c>
      <c r="D3598">
        <v>685.44</v>
      </c>
    </row>
    <row r="3599" spans="1:4">
      <c r="A3599" t="str">
        <f>"28890-EB410"</f>
        <v>28890-EB410</v>
      </c>
      <c r="B3599" t="str">
        <f>"BLADE ASSY-WIND"</f>
        <v>BLADE ASSY-WIND</v>
      </c>
      <c r="C3599">
        <v>6</v>
      </c>
      <c r="D3599">
        <v>447.16799999999995</v>
      </c>
    </row>
    <row r="3600" spans="1:4">
      <c r="A3600" t="str">
        <f>"28890-EH105"</f>
        <v>28890-EH105</v>
      </c>
      <c r="B3600" t="str">
        <f t="shared" ref="B3600:B3614" si="73">"Щетка стеклоочистите"</f>
        <v>Щетка стеклоочистите</v>
      </c>
      <c r="C3600">
        <v>13</v>
      </c>
      <c r="D3600">
        <v>589.55999999999995</v>
      </c>
    </row>
    <row r="3601" spans="1:4">
      <c r="A3601" t="str">
        <f>"28890-EM31A"</f>
        <v>28890-EM31A</v>
      </c>
      <c r="B3601" t="str">
        <f t="shared" si="73"/>
        <v>Щетка стеклоочистите</v>
      </c>
      <c r="C3601">
        <v>42</v>
      </c>
      <c r="D3601">
        <v>404.73599999999993</v>
      </c>
    </row>
    <row r="3602" spans="1:4">
      <c r="A3602" t="str">
        <f>"28890-JD90C"</f>
        <v>28890-JD90C</v>
      </c>
      <c r="B3602" t="str">
        <f t="shared" si="73"/>
        <v>Щетка стеклоочистите</v>
      </c>
      <c r="C3602">
        <v>17</v>
      </c>
      <c r="D3602">
        <v>310.89599999999996</v>
      </c>
    </row>
    <row r="3603" spans="1:4">
      <c r="A3603" t="str">
        <f>"28890-JD91C"</f>
        <v>28890-JD91C</v>
      </c>
      <c r="B3603" t="str">
        <f t="shared" si="73"/>
        <v>Щетка стеклоочистите</v>
      </c>
      <c r="C3603">
        <v>7</v>
      </c>
      <c r="D3603">
        <v>310.89599999999996</v>
      </c>
    </row>
    <row r="3604" spans="1:4">
      <c r="A3604" t="str">
        <f>"28890-JG410"</f>
        <v>28890-JG410</v>
      </c>
      <c r="B3604" t="str">
        <f t="shared" si="73"/>
        <v>Щетка стеклоочистите</v>
      </c>
      <c r="C3604">
        <v>5</v>
      </c>
      <c r="D3604">
        <v>471.23999999999995</v>
      </c>
    </row>
    <row r="3605" spans="1:4">
      <c r="A3605" t="str">
        <f>"28890-JK610"</f>
        <v>28890-JK610</v>
      </c>
      <c r="B3605" t="str">
        <f t="shared" si="73"/>
        <v>Щетка стеклоочистите</v>
      </c>
      <c r="C3605">
        <v>55</v>
      </c>
      <c r="D3605">
        <v>594.048</v>
      </c>
    </row>
    <row r="3606" spans="1:4">
      <c r="A3606" t="str">
        <f>"28890-JK61A"</f>
        <v>28890-JK61A</v>
      </c>
      <c r="B3606" t="str">
        <f t="shared" si="73"/>
        <v>Щетка стеклоочистите</v>
      </c>
      <c r="C3606">
        <v>11</v>
      </c>
      <c r="D3606">
        <v>851.90399999999988</v>
      </c>
    </row>
    <row r="3607" spans="1:4">
      <c r="A3607" t="str">
        <f>"28890-JK61B"</f>
        <v>28890-JK61B</v>
      </c>
      <c r="B3607" t="str">
        <f t="shared" si="73"/>
        <v>Щетка стеклоочистите</v>
      </c>
      <c r="C3607">
        <v>8</v>
      </c>
      <c r="D3607">
        <v>734.4</v>
      </c>
    </row>
    <row r="3608" spans="1:4">
      <c r="A3608" t="str">
        <f>"28890-JN00B"</f>
        <v>28890-JN00B</v>
      </c>
      <c r="B3608" t="str">
        <f t="shared" si="73"/>
        <v>Щетка стеклоочистите</v>
      </c>
      <c r="C3608">
        <v>41</v>
      </c>
      <c r="D3608">
        <v>742.56</v>
      </c>
    </row>
    <row r="3609" spans="1:4">
      <c r="A3609" t="str">
        <f>"28890-JN01B"</f>
        <v>28890-JN01B</v>
      </c>
      <c r="B3609" t="str">
        <f t="shared" si="73"/>
        <v>Щетка стеклоочистите</v>
      </c>
      <c r="C3609">
        <v>7</v>
      </c>
      <c r="D3609">
        <v>467.56799999999998</v>
      </c>
    </row>
    <row r="3610" spans="1:4">
      <c r="A3610" t="str">
        <f>"28890-ZC30A"</f>
        <v>28890-ZC30A</v>
      </c>
      <c r="B3610" t="str">
        <f t="shared" si="73"/>
        <v>Щетка стеклоочистите</v>
      </c>
      <c r="C3610">
        <v>17</v>
      </c>
      <c r="D3610">
        <v>660.14400000000001</v>
      </c>
    </row>
    <row r="3611" spans="1:4">
      <c r="A3611" t="str">
        <f>"28890-ZC31A"</f>
        <v>28890-ZC31A</v>
      </c>
      <c r="B3611" t="str">
        <f t="shared" si="73"/>
        <v>Щетка стеклоочистите</v>
      </c>
      <c r="C3611">
        <v>3</v>
      </c>
      <c r="D3611">
        <v>518.16</v>
      </c>
    </row>
    <row r="3612" spans="1:4">
      <c r="A3612" t="str">
        <f>"28891-3Y61B"</f>
        <v>28891-3Y61B</v>
      </c>
      <c r="B3612" t="str">
        <f t="shared" si="73"/>
        <v>Щетка стеклоочистите</v>
      </c>
      <c r="C3612">
        <v>20</v>
      </c>
      <c r="D3612">
        <v>922.89599999999996</v>
      </c>
    </row>
    <row r="3613" spans="1:4">
      <c r="A3613" t="str">
        <f>"28891-EM00A"</f>
        <v>28891-EM00A</v>
      </c>
      <c r="B3613" t="str">
        <f t="shared" si="73"/>
        <v>Щетка стеклоочистите</v>
      </c>
      <c r="C3613">
        <v>0</v>
      </c>
      <c r="D3613">
        <v>595.67999999999995</v>
      </c>
    </row>
    <row r="3614" spans="1:4">
      <c r="A3614" t="str">
        <f>"28891-JG400"</f>
        <v>28891-JG400</v>
      </c>
      <c r="B3614" t="str">
        <f t="shared" si="73"/>
        <v>Щетка стеклоочистите</v>
      </c>
      <c r="C3614">
        <v>34</v>
      </c>
      <c r="D3614">
        <v>811.51199999999994</v>
      </c>
    </row>
    <row r="3615" spans="1:4">
      <c r="A3615" t="str">
        <f>"28910-1BF0A"</f>
        <v>28910-1BF0A</v>
      </c>
      <c r="B3615" t="str">
        <f>"Бачок омывателя"</f>
        <v>Бачок омывателя</v>
      </c>
      <c r="C3615">
        <v>5</v>
      </c>
      <c r="D3615">
        <v>4864.1759999999995</v>
      </c>
    </row>
    <row r="3616" spans="1:4">
      <c r="A3616" t="str">
        <f>"28910-1CJ0A"</f>
        <v>28910-1CJ0A</v>
      </c>
      <c r="B3616" t="str">
        <f>"Бачок омывателя"</f>
        <v>Бачок омывателя</v>
      </c>
      <c r="C3616">
        <v>7</v>
      </c>
      <c r="D3616">
        <v>5584.7039999999997</v>
      </c>
    </row>
    <row r="3617" spans="1:4">
      <c r="A3617" t="str">
        <f>"28910-31U00"</f>
        <v>28910-31U00</v>
      </c>
      <c r="B3617" t="str">
        <f>"TANK ASSY-WASH"</f>
        <v>TANK ASSY-WASH</v>
      </c>
      <c r="C3617">
        <v>0</v>
      </c>
      <c r="D3617">
        <v>2814.384</v>
      </c>
    </row>
    <row r="3618" spans="1:4">
      <c r="A3618" t="str">
        <f>"28910-3Y70C"</f>
        <v>28910-3Y70C</v>
      </c>
      <c r="B3618" t="str">
        <f>"Бачок омывателя"</f>
        <v>Бачок омывателя</v>
      </c>
      <c r="C3618">
        <v>1</v>
      </c>
      <c r="D3618">
        <v>4308.8879999999999</v>
      </c>
    </row>
    <row r="3619" spans="1:4">
      <c r="A3619" t="str">
        <f>"28910-8H300"</f>
        <v>28910-8H300</v>
      </c>
      <c r="B3619" t="str">
        <f>"TANK ASSY-WINDS"</f>
        <v>TANK ASSY-WINDS</v>
      </c>
      <c r="C3619">
        <v>2</v>
      </c>
      <c r="D3619">
        <v>4847.4479999999994</v>
      </c>
    </row>
    <row r="3620" spans="1:4">
      <c r="A3620" t="str">
        <f>"28910-9U100"</f>
        <v>28910-9U100</v>
      </c>
      <c r="B3620" t="str">
        <f>"Бачок омывателя"</f>
        <v>Бачок омывателя</v>
      </c>
      <c r="C3620">
        <v>3</v>
      </c>
      <c r="D3620">
        <v>6199.152</v>
      </c>
    </row>
    <row r="3621" spans="1:4">
      <c r="A3621" t="str">
        <f>"28910-9W50B"</f>
        <v>28910-9W50B</v>
      </c>
      <c r="B3621" t="str">
        <f>"Бачок омывателя"</f>
        <v>Бачок омывателя</v>
      </c>
      <c r="C3621">
        <v>5</v>
      </c>
      <c r="D3621">
        <v>2733.1919999999996</v>
      </c>
    </row>
    <row r="3622" spans="1:4">
      <c r="A3622" t="str">
        <f>"28910-AU300"</f>
        <v>28910-AU300</v>
      </c>
      <c r="B3622" t="str">
        <f>"TANK ASSY-WINDS"</f>
        <v>TANK ASSY-WINDS</v>
      </c>
      <c r="C3622">
        <v>0</v>
      </c>
      <c r="D3622">
        <v>4289.7120000000004</v>
      </c>
    </row>
    <row r="3623" spans="1:4">
      <c r="A3623" t="str">
        <f>"28910-AU310"</f>
        <v>28910-AU310</v>
      </c>
      <c r="B3623" t="str">
        <f>"TANK ASSY-WINDS"</f>
        <v>TANK ASSY-WINDS</v>
      </c>
      <c r="C3623">
        <v>6</v>
      </c>
      <c r="D3623">
        <v>5283.5999999999995</v>
      </c>
    </row>
    <row r="3624" spans="1:4">
      <c r="A3624" t="str">
        <f>"28910-AU31A"</f>
        <v>28910-AU31A</v>
      </c>
      <c r="B3624" t="str">
        <f>"Бачок омывателя"</f>
        <v>Бачок омывателя</v>
      </c>
      <c r="C3624">
        <v>6</v>
      </c>
      <c r="D3624">
        <v>5079.5999999999995</v>
      </c>
    </row>
    <row r="3625" spans="1:4">
      <c r="A3625" t="str">
        <f>"28910-BC300"</f>
        <v>28910-BC300</v>
      </c>
      <c r="B3625" t="str">
        <f>"TANK ASSY-WINDS"</f>
        <v>TANK ASSY-WINDS</v>
      </c>
      <c r="C3625">
        <v>3</v>
      </c>
      <c r="D3625">
        <v>5613.6720000000005</v>
      </c>
    </row>
    <row r="3626" spans="1:4">
      <c r="A3626" t="str">
        <f>"28910-BC30A"</f>
        <v>28910-BC30A</v>
      </c>
      <c r="B3626" t="str">
        <f>"Бачок омывателя"</f>
        <v>Бачок омывателя</v>
      </c>
      <c r="C3626">
        <v>3</v>
      </c>
      <c r="D3626">
        <v>5735.2560000000003</v>
      </c>
    </row>
    <row r="3627" spans="1:4">
      <c r="A3627" t="str">
        <f>"28910-BN506"</f>
        <v>28910-BN506</v>
      </c>
      <c r="B3627" t="str">
        <f>"TANK ASSY-WINDS"</f>
        <v>TANK ASSY-WINDS</v>
      </c>
      <c r="C3627">
        <v>2</v>
      </c>
      <c r="D3627">
        <v>4619.3760000000002</v>
      </c>
    </row>
    <row r="3628" spans="1:4">
      <c r="A3628" t="str">
        <f>"28910-BN516"</f>
        <v>28910-BN516</v>
      </c>
      <c r="B3628" t="str">
        <f>"TANK ASSY-WINDS"</f>
        <v>TANK ASSY-WINDS</v>
      </c>
      <c r="C3628">
        <v>5</v>
      </c>
      <c r="D3628">
        <v>5386.4160000000002</v>
      </c>
    </row>
    <row r="3629" spans="1:4">
      <c r="A3629" t="str">
        <f>"28910-CC00B"</f>
        <v>28910-CC00B</v>
      </c>
      <c r="B3629" t="str">
        <f>"Бачок омывателя"</f>
        <v>Бачок омывателя</v>
      </c>
      <c r="C3629">
        <v>6</v>
      </c>
      <c r="D3629">
        <v>5171.3999999999996</v>
      </c>
    </row>
    <row r="3630" spans="1:4">
      <c r="A3630" t="str">
        <f>"28910-CG000"</f>
        <v>28910-CG000</v>
      </c>
      <c r="B3630" t="str">
        <f>"TANK ASSY-WASH"</f>
        <v>TANK ASSY-WASH</v>
      </c>
      <c r="C3630">
        <v>7</v>
      </c>
      <c r="D3630">
        <v>4455.3599999999997</v>
      </c>
    </row>
    <row r="3631" spans="1:4">
      <c r="A3631" t="str">
        <f>"28910-CM80A"</f>
        <v>28910-CM80A</v>
      </c>
      <c r="B3631" t="str">
        <f>"Бачок омывателя"</f>
        <v>Бачок омывателя</v>
      </c>
      <c r="C3631">
        <v>1</v>
      </c>
      <c r="D3631">
        <v>5536.9679999999998</v>
      </c>
    </row>
    <row r="3632" spans="1:4">
      <c r="A3632" t="str">
        <f>"28910-EB320"</f>
        <v>28910-EB320</v>
      </c>
      <c r="B3632" t="str">
        <f>"Бачок омывателя"</f>
        <v>Бачок омывателя</v>
      </c>
      <c r="C3632">
        <v>2</v>
      </c>
      <c r="D3632">
        <v>7013.52</v>
      </c>
    </row>
    <row r="3633" spans="1:4">
      <c r="A3633" t="str">
        <f>"28910-EJ20A"</f>
        <v>28910-EJ20A</v>
      </c>
      <c r="B3633" t="str">
        <f>"Бачок омывателя"</f>
        <v>Бачок омывателя</v>
      </c>
      <c r="C3633">
        <v>2</v>
      </c>
      <c r="D3633">
        <v>4453.32</v>
      </c>
    </row>
    <row r="3634" spans="1:4">
      <c r="A3634" t="str">
        <f>"28910-EL000"</f>
        <v>28910-EL000</v>
      </c>
      <c r="B3634" t="str">
        <f>"Бачёк омывателя стек"</f>
        <v>Бачёк омывателя стек</v>
      </c>
      <c r="C3634">
        <v>8</v>
      </c>
      <c r="D3634">
        <v>3645.8879999999995</v>
      </c>
    </row>
    <row r="3635" spans="1:4">
      <c r="A3635" t="str">
        <f>"28910-EL400"</f>
        <v>28910-EL400</v>
      </c>
      <c r="B3635" t="str">
        <f>"Бачок омывателя"</f>
        <v>Бачок омывателя</v>
      </c>
      <c r="C3635">
        <v>2</v>
      </c>
      <c r="D3635">
        <v>3355.3919999999998</v>
      </c>
    </row>
    <row r="3636" spans="1:4">
      <c r="A3636" t="str">
        <f>"28910-EM00A"</f>
        <v>28910-EM00A</v>
      </c>
      <c r="B3636" t="str">
        <f>"Бачок омывателя"</f>
        <v>Бачок омывателя</v>
      </c>
      <c r="C3636">
        <v>2</v>
      </c>
      <c r="D3636">
        <v>4601.424</v>
      </c>
    </row>
    <row r="3637" spans="1:4">
      <c r="A3637" t="str">
        <f>"28910-EM01A"</f>
        <v>28910-EM01A</v>
      </c>
      <c r="B3637" t="str">
        <f>"Бачок омывателя"</f>
        <v>Бачок омывателя</v>
      </c>
      <c r="C3637">
        <v>0</v>
      </c>
      <c r="D3637">
        <v>4523.9039999999995</v>
      </c>
    </row>
    <row r="3638" spans="1:4">
      <c r="A3638" t="str">
        <f>"28910-EQ300"</f>
        <v>28910-EQ300</v>
      </c>
      <c r="B3638" t="str">
        <f>"TANK ASSY-WASH"</f>
        <v>TANK ASSY-WASH</v>
      </c>
      <c r="C3638">
        <v>0</v>
      </c>
      <c r="D3638">
        <v>5946.192</v>
      </c>
    </row>
    <row r="3639" spans="1:4">
      <c r="A3639" t="str">
        <f>"28910-JD900"</f>
        <v>28910-JD900</v>
      </c>
      <c r="B3639" t="str">
        <f>"Бачок омывателя"</f>
        <v>Бачок омывателя</v>
      </c>
      <c r="C3639">
        <v>12</v>
      </c>
      <c r="D3639">
        <v>3095.4959999999996</v>
      </c>
    </row>
    <row r="3640" spans="1:4">
      <c r="A3640" t="str">
        <f>"28910-JG600"</f>
        <v>28910-JG600</v>
      </c>
      <c r="B3640" t="str">
        <f>"Бачок омывателя"</f>
        <v>Бачок омывателя</v>
      </c>
      <c r="C3640">
        <v>2</v>
      </c>
      <c r="D3640">
        <v>5280.3359999999993</v>
      </c>
    </row>
    <row r="3641" spans="1:4">
      <c r="A3641" t="str">
        <f>"28910-JL30A"</f>
        <v>28910-JL30A</v>
      </c>
      <c r="B3641" t="str">
        <f>"Бачок омывателя"</f>
        <v>Бачок омывателя</v>
      </c>
      <c r="C3641">
        <v>1</v>
      </c>
      <c r="D3641">
        <v>4861.32</v>
      </c>
    </row>
    <row r="3642" spans="1:4">
      <c r="A3642" t="str">
        <f>"28910-JN10A"</f>
        <v>28910-JN10A</v>
      </c>
      <c r="B3642" t="str">
        <f>"Бачок омывателя"</f>
        <v>Бачок омывателя</v>
      </c>
      <c r="C3642">
        <v>7</v>
      </c>
      <c r="D3642">
        <v>6399.8879999999999</v>
      </c>
    </row>
    <row r="3643" spans="1:4">
      <c r="A3643" t="str">
        <f>"28913-70J00"</f>
        <v>28913-70J00</v>
      </c>
      <c r="B3643" t="str">
        <f>"CAP-WINDSHIELD"</f>
        <v>CAP-WINDSHIELD</v>
      </c>
      <c r="C3643">
        <v>23</v>
      </c>
      <c r="D3643">
        <v>48.143999999999998</v>
      </c>
    </row>
    <row r="3644" spans="1:4">
      <c r="A3644" t="str">
        <f>"28913-7F001"</f>
        <v>28913-7F001</v>
      </c>
      <c r="B3644" t="str">
        <f>"CAP-WINDSHIELD"</f>
        <v>CAP-WINDSHIELD</v>
      </c>
      <c r="C3644">
        <v>6</v>
      </c>
      <c r="D3644">
        <v>51.815999999999995</v>
      </c>
    </row>
    <row r="3645" spans="1:4">
      <c r="A3645" t="str">
        <f>"28913-95F0B"</f>
        <v>28913-95F0B</v>
      </c>
      <c r="B3645" t="str">
        <f>"Крышка бачка омывате"</f>
        <v>Крышка бачка омывате</v>
      </c>
      <c r="C3645">
        <v>16</v>
      </c>
      <c r="D3645">
        <v>45.695999999999998</v>
      </c>
    </row>
    <row r="3646" spans="1:4">
      <c r="A3646" t="str">
        <f>"28913-AU30A"</f>
        <v>28913-AU30A</v>
      </c>
      <c r="B3646" t="str">
        <f>"CAP-WINDSHIELD"</f>
        <v>CAP-WINDSHIELD</v>
      </c>
      <c r="C3646">
        <v>5</v>
      </c>
      <c r="D3646">
        <v>130.56</v>
      </c>
    </row>
    <row r="3647" spans="1:4">
      <c r="A3647" t="str">
        <f>"28913-AX600"</f>
        <v>28913-AX600</v>
      </c>
      <c r="B3647" t="str">
        <f>"CAP-WINDSHIELD"</f>
        <v>CAP-WINDSHIELD</v>
      </c>
      <c r="C3647">
        <v>13</v>
      </c>
      <c r="D3647">
        <v>82.416000000000011</v>
      </c>
    </row>
    <row r="3648" spans="1:4">
      <c r="A3648" t="str">
        <f>"28913-AX700"</f>
        <v>28913-AX700</v>
      </c>
      <c r="B3648" t="str">
        <f>"CAP-WINDSHIELD"</f>
        <v>CAP-WINDSHIELD</v>
      </c>
      <c r="C3648">
        <v>6</v>
      </c>
      <c r="D3648">
        <v>159.11999999999998</v>
      </c>
    </row>
    <row r="3649" spans="1:4">
      <c r="A3649" t="str">
        <f>"28913-BM400"</f>
        <v>28913-BM400</v>
      </c>
      <c r="B3649" t="str">
        <f>"CAP-WINDSHIELD"</f>
        <v>CAP-WINDSHIELD</v>
      </c>
      <c r="C3649">
        <v>7</v>
      </c>
      <c r="D3649">
        <v>137.904</v>
      </c>
    </row>
    <row r="3650" spans="1:4">
      <c r="A3650" t="str">
        <f>"28913-BM410"</f>
        <v>28913-BM410</v>
      </c>
      <c r="B3650" t="str">
        <f>"CAP-WINDSHIELD"</f>
        <v>CAP-WINDSHIELD</v>
      </c>
      <c r="C3650">
        <v>8</v>
      </c>
      <c r="D3650">
        <v>101.18399999999998</v>
      </c>
    </row>
    <row r="3651" spans="1:4">
      <c r="A3651" t="str">
        <f>"28913-CR900"</f>
        <v>28913-CR900</v>
      </c>
      <c r="B3651" t="str">
        <f t="shared" ref="B3651:B3656" si="74">"Крышка бачка омывате"</f>
        <v>Крышка бачка омывате</v>
      </c>
      <c r="C3651">
        <v>13</v>
      </c>
      <c r="D3651">
        <v>64.872</v>
      </c>
    </row>
    <row r="3652" spans="1:4">
      <c r="A3652" t="str">
        <f>"28913-EL000"</f>
        <v>28913-EL000</v>
      </c>
      <c r="B3652" t="str">
        <f t="shared" si="74"/>
        <v>Крышка бачка омывате</v>
      </c>
      <c r="C3652">
        <v>5</v>
      </c>
      <c r="D3652">
        <v>56.711999999999996</v>
      </c>
    </row>
    <row r="3653" spans="1:4">
      <c r="A3653" t="str">
        <f>"28913-JD00A"</f>
        <v>28913-JD00A</v>
      </c>
      <c r="B3653" t="str">
        <f t="shared" si="74"/>
        <v>Крышка бачка омывате</v>
      </c>
      <c r="C3653">
        <v>37</v>
      </c>
      <c r="D3653">
        <v>53.856000000000002</v>
      </c>
    </row>
    <row r="3654" spans="1:4">
      <c r="A3654" t="str">
        <f>"28913-JM01A"</f>
        <v>28913-JM01A</v>
      </c>
      <c r="B3654" t="str">
        <f t="shared" si="74"/>
        <v>Крышка бачка омывате</v>
      </c>
      <c r="C3654">
        <v>0</v>
      </c>
      <c r="D3654">
        <v>50.183999999999997</v>
      </c>
    </row>
    <row r="3655" spans="1:4">
      <c r="A3655" t="str">
        <f>"28913-JN00A"</f>
        <v>28913-JN00A</v>
      </c>
      <c r="B3655" t="str">
        <f t="shared" si="74"/>
        <v>Крышка бачка омывате</v>
      </c>
      <c r="C3655">
        <v>12</v>
      </c>
      <c r="D3655">
        <v>51.408000000000001</v>
      </c>
    </row>
    <row r="3656" spans="1:4">
      <c r="A3656" t="str">
        <f>"28913-KA10A"</f>
        <v>28913-KA10A</v>
      </c>
      <c r="B3656" t="str">
        <f t="shared" si="74"/>
        <v>Крышка бачка омывате</v>
      </c>
      <c r="C3656">
        <v>0</v>
      </c>
      <c r="D3656">
        <v>62.015999999999998</v>
      </c>
    </row>
    <row r="3657" spans="1:4">
      <c r="A3657" t="str">
        <f>"28915-1CA0A"</f>
        <v>28915-1CA0A</v>
      </c>
      <c r="B3657" t="str">
        <f>"INLET-WASHER TA"</f>
        <v>INLET-WASHER TA</v>
      </c>
      <c r="C3657">
        <v>0</v>
      </c>
      <c r="D3657">
        <v>758.47199999999987</v>
      </c>
    </row>
    <row r="3658" spans="1:4">
      <c r="A3658" t="str">
        <f>"28915-8H300"</f>
        <v>28915-8H300</v>
      </c>
      <c r="B3658" t="str">
        <f>"INLET-WASHER TA"</f>
        <v>INLET-WASHER TA</v>
      </c>
      <c r="C3658">
        <v>9</v>
      </c>
      <c r="D3658">
        <v>468.38399999999996</v>
      </c>
    </row>
    <row r="3659" spans="1:4">
      <c r="A3659" t="str">
        <f>"28915-9W50C"</f>
        <v>28915-9W50C</v>
      </c>
      <c r="B3659" t="str">
        <f>"Горловина заливная б"</f>
        <v>Горловина заливная б</v>
      </c>
      <c r="C3659">
        <v>8</v>
      </c>
      <c r="D3659">
        <v>529.58399999999995</v>
      </c>
    </row>
    <row r="3660" spans="1:4">
      <c r="A3660" t="str">
        <f>"28915-AU010"</f>
        <v>28915-AU010</v>
      </c>
      <c r="B3660" t="str">
        <f>"INLET-WASHER TA"</f>
        <v>INLET-WASHER TA</v>
      </c>
      <c r="C3660">
        <v>27</v>
      </c>
      <c r="D3660">
        <v>525.50400000000002</v>
      </c>
    </row>
    <row r="3661" spans="1:4">
      <c r="A3661" t="str">
        <f>"28915-CG00B"</f>
        <v>28915-CG00B</v>
      </c>
      <c r="B3661" t="str">
        <f t="shared" ref="B3661:B3666" si="75">"Горловина заливная б"</f>
        <v>Горловина заливная б</v>
      </c>
      <c r="C3661">
        <v>0</v>
      </c>
      <c r="D3661">
        <v>769.89600000000007</v>
      </c>
    </row>
    <row r="3662" spans="1:4">
      <c r="A3662" t="str">
        <f>"28915-EL000"</f>
        <v>28915-EL000</v>
      </c>
      <c r="B3662" t="str">
        <f t="shared" si="75"/>
        <v>Горловина заливная б</v>
      </c>
      <c r="C3662">
        <v>3</v>
      </c>
      <c r="D3662">
        <v>548.35199999999998</v>
      </c>
    </row>
    <row r="3663" spans="1:4">
      <c r="A3663" t="str">
        <f>"28915-JG000"</f>
        <v>28915-JG000</v>
      </c>
      <c r="B3663" t="str">
        <f t="shared" si="75"/>
        <v>Горловина заливная б</v>
      </c>
      <c r="C3663">
        <v>3</v>
      </c>
      <c r="D3663">
        <v>506.73599999999993</v>
      </c>
    </row>
    <row r="3664" spans="1:4">
      <c r="A3664" t="str">
        <f>"28915-JN00A"</f>
        <v>28915-JN00A</v>
      </c>
      <c r="B3664" t="str">
        <f t="shared" si="75"/>
        <v>Горловина заливная б</v>
      </c>
      <c r="C3664">
        <v>6</v>
      </c>
      <c r="D3664">
        <v>772.34399999999994</v>
      </c>
    </row>
    <row r="3665" spans="1:4">
      <c r="A3665" t="str">
        <f>"28916-95F0A"</f>
        <v>28916-95F0A</v>
      </c>
      <c r="B3665" t="str">
        <f t="shared" si="75"/>
        <v>Горловина заливная б</v>
      </c>
      <c r="C3665">
        <v>15</v>
      </c>
      <c r="D3665">
        <v>327.21600000000001</v>
      </c>
    </row>
    <row r="3666" spans="1:4">
      <c r="A3666" t="str">
        <f>"28916-JD00A"</f>
        <v>28916-JD00A</v>
      </c>
      <c r="B3666" t="str">
        <f t="shared" si="75"/>
        <v>Горловина заливная б</v>
      </c>
      <c r="C3666">
        <v>4</v>
      </c>
      <c r="D3666">
        <v>483.88799999999998</v>
      </c>
    </row>
    <row r="3667" spans="1:4">
      <c r="A3667" t="str">
        <f>"28918-9U00A"</f>
        <v>28918-9U00A</v>
      </c>
      <c r="B3667" t="str">
        <f>"Фильтр заливной горл"</f>
        <v>Фильтр заливной горл</v>
      </c>
      <c r="C3667">
        <v>24</v>
      </c>
      <c r="D3667">
        <v>223.99199999999999</v>
      </c>
    </row>
    <row r="3668" spans="1:4">
      <c r="A3668" t="str">
        <f>"28918-AX600"</f>
        <v>28918-AX600</v>
      </c>
      <c r="B3668" t="str">
        <f>"FILTER-WASHER"</f>
        <v>FILTER-WASHER</v>
      </c>
      <c r="C3668">
        <v>6</v>
      </c>
      <c r="D3668">
        <v>188.49600000000001</v>
      </c>
    </row>
    <row r="3669" spans="1:4">
      <c r="A3669" t="str">
        <f>"28920-0F003"</f>
        <v>28920-0F003</v>
      </c>
      <c r="B3669" t="str">
        <f>"PUMP-WASHER"</f>
        <v>PUMP-WASHER</v>
      </c>
      <c r="C3669">
        <v>4</v>
      </c>
      <c r="D3669">
        <v>911.47199999999987</v>
      </c>
    </row>
    <row r="3670" spans="1:4">
      <c r="A3670" t="str">
        <f>"28920-0W000"</f>
        <v>28920-0W000</v>
      </c>
      <c r="B3670" t="str">
        <f>"PUMP-WASHER"</f>
        <v>PUMP-WASHER</v>
      </c>
      <c r="C3670">
        <v>4</v>
      </c>
      <c r="D3670">
        <v>939.62399999999991</v>
      </c>
    </row>
    <row r="3671" spans="1:4">
      <c r="A3671" t="str">
        <f>"28920-1E400"</f>
        <v>28920-1E400</v>
      </c>
      <c r="B3671" t="str">
        <f>"MOTOR-WASHER"</f>
        <v>MOTOR-WASHER</v>
      </c>
      <c r="C3671">
        <v>1</v>
      </c>
      <c r="D3671">
        <v>692.37599999999998</v>
      </c>
    </row>
    <row r="3672" spans="1:4">
      <c r="A3672" t="str">
        <f>"28920-2F700"</f>
        <v>28920-2F700</v>
      </c>
      <c r="B3672" t="str">
        <f>"PUMP ASSY-WASHE"</f>
        <v>PUMP ASSY-WASHE</v>
      </c>
      <c r="C3672">
        <v>12</v>
      </c>
      <c r="D3672">
        <v>1176.2639999999999</v>
      </c>
    </row>
    <row r="3673" spans="1:4">
      <c r="A3673" t="str">
        <f>"28920-3Z000"</f>
        <v>28920-3Z000</v>
      </c>
      <c r="B3673" t="str">
        <f>"Насос омывателя"</f>
        <v>Насос омывателя</v>
      </c>
      <c r="C3673">
        <v>8</v>
      </c>
      <c r="D3673">
        <v>782.13599999999997</v>
      </c>
    </row>
    <row r="3674" spans="1:4">
      <c r="A3674" t="str">
        <f>"28920-50Y00"</f>
        <v>28920-50Y00</v>
      </c>
      <c r="B3674" t="str">
        <f>"MOTOR-WASHER"</f>
        <v>MOTOR-WASHER</v>
      </c>
      <c r="C3674">
        <v>80</v>
      </c>
      <c r="D3674">
        <v>863.73599999999999</v>
      </c>
    </row>
    <row r="3675" spans="1:4">
      <c r="A3675" t="str">
        <f>"28920-50Y10"</f>
        <v>28920-50Y10</v>
      </c>
      <c r="B3675" t="str">
        <f>"MOTOR-WASHER"</f>
        <v>MOTOR-WASHER</v>
      </c>
      <c r="C3675">
        <v>20</v>
      </c>
      <c r="D3675">
        <v>916.77599999999995</v>
      </c>
    </row>
    <row r="3676" spans="1:4">
      <c r="A3676" t="str">
        <f>"28920-5F010"</f>
        <v>28920-5F010</v>
      </c>
      <c r="B3676" t="str">
        <f>"PUMP ASSY-WASHE"</f>
        <v>PUMP ASSY-WASHE</v>
      </c>
      <c r="C3676">
        <v>7</v>
      </c>
      <c r="D3676">
        <v>1212.576</v>
      </c>
    </row>
    <row r="3677" spans="1:4">
      <c r="A3677" t="str">
        <f>"28920-70J00"</f>
        <v>28920-70J00</v>
      </c>
      <c r="B3677" t="str">
        <f>"MOTOR-WASHER,FR"</f>
        <v>MOTOR-WASHER,FR</v>
      </c>
      <c r="C3677">
        <v>40</v>
      </c>
      <c r="D3677">
        <v>1067.328</v>
      </c>
    </row>
    <row r="3678" spans="1:4">
      <c r="A3678" t="str">
        <f>"28920-70J11"</f>
        <v>28920-70J11</v>
      </c>
      <c r="B3678" t="str">
        <f>"MOTOR-WASHER,FR"</f>
        <v>MOTOR-WASHER,FR</v>
      </c>
      <c r="C3678">
        <v>3</v>
      </c>
      <c r="D3678">
        <v>926.976</v>
      </c>
    </row>
    <row r="3679" spans="1:4">
      <c r="A3679" t="str">
        <f>"28920-8H900"</f>
        <v>28920-8H900</v>
      </c>
      <c r="B3679" t="str">
        <f>"PUMP-WASHER"</f>
        <v>PUMP-WASHER</v>
      </c>
      <c r="C3679">
        <v>17</v>
      </c>
      <c r="D3679">
        <v>943.70399999999995</v>
      </c>
    </row>
    <row r="3680" spans="1:4">
      <c r="A3680" t="str">
        <f>"28920-AR000"</f>
        <v>28920-AR000</v>
      </c>
      <c r="B3680" t="str">
        <f>"Насос омывателя"</f>
        <v>Насос омывателя</v>
      </c>
      <c r="C3680">
        <v>10</v>
      </c>
      <c r="D3680">
        <v>909.84</v>
      </c>
    </row>
    <row r="3681" spans="1:4">
      <c r="A3681" t="str">
        <f>"28920-AU310"</f>
        <v>28920-AU310</v>
      </c>
      <c r="B3681" t="str">
        <f>"PUMP ASSY-WASHE"</f>
        <v>PUMP ASSY-WASHE</v>
      </c>
      <c r="C3681">
        <v>14</v>
      </c>
      <c r="D3681">
        <v>1475.328</v>
      </c>
    </row>
    <row r="3682" spans="1:4">
      <c r="A3682" t="str">
        <f>"28920-AU31A"</f>
        <v>28920-AU31A</v>
      </c>
      <c r="B3682" t="str">
        <f>"Насос омывателя"</f>
        <v>Насос омывателя</v>
      </c>
      <c r="C3682">
        <v>16</v>
      </c>
      <c r="D3682">
        <v>1471.6560000000002</v>
      </c>
    </row>
    <row r="3683" spans="1:4">
      <c r="A3683" t="str">
        <f>"28920-BC000"</f>
        <v>28920-BC000</v>
      </c>
      <c r="B3683" t="str">
        <f>"PUMP ASSY-WASHE"</f>
        <v>PUMP ASSY-WASHE</v>
      </c>
      <c r="C3683">
        <v>5</v>
      </c>
      <c r="D3683">
        <v>952.68</v>
      </c>
    </row>
    <row r="3684" spans="1:4">
      <c r="A3684" t="str">
        <f>"28920-BC00B"</f>
        <v>28920-BC00B</v>
      </c>
      <c r="B3684" t="str">
        <f>"Насос омывателя"</f>
        <v>Насос омывателя</v>
      </c>
      <c r="C3684">
        <v>65</v>
      </c>
      <c r="D3684">
        <v>1439.8319999999999</v>
      </c>
    </row>
    <row r="3685" spans="1:4">
      <c r="A3685" t="str">
        <f>"28920-BC10A"</f>
        <v>28920-BC10A</v>
      </c>
      <c r="B3685" t="str">
        <f>"PUMP ASSY-WASHE"</f>
        <v>PUMP ASSY-WASHE</v>
      </c>
      <c r="C3685">
        <v>15</v>
      </c>
      <c r="D3685">
        <v>1199.9280000000001</v>
      </c>
    </row>
    <row r="3686" spans="1:4">
      <c r="A3686" t="str">
        <f>"28920-BC20A"</f>
        <v>28920-BC20A</v>
      </c>
      <c r="B3686" t="str">
        <f>"Насос омывателя"</f>
        <v>Насос омывателя</v>
      </c>
      <c r="C3686">
        <v>11</v>
      </c>
      <c r="D3686">
        <v>1154.232</v>
      </c>
    </row>
    <row r="3687" spans="1:4">
      <c r="A3687" t="str">
        <f>"28920-BM400"</f>
        <v>28920-BM400</v>
      </c>
      <c r="B3687" t="str">
        <f>"PUMP ASSY-WASHE"</f>
        <v>PUMP ASSY-WASHE</v>
      </c>
      <c r="C3687">
        <v>12</v>
      </c>
      <c r="D3687">
        <v>1169.7359999999999</v>
      </c>
    </row>
    <row r="3688" spans="1:4">
      <c r="A3688" t="str">
        <f>"28920-BN500"</f>
        <v>28920-BN500</v>
      </c>
      <c r="B3688" t="str">
        <f>"PUMP ASSY-WASHE"</f>
        <v>PUMP ASSY-WASHE</v>
      </c>
      <c r="C3688">
        <v>8</v>
      </c>
      <c r="D3688">
        <v>1123.6320000000001</v>
      </c>
    </row>
    <row r="3689" spans="1:4">
      <c r="A3689" t="str">
        <f>"28920-BU000"</f>
        <v>28920-BU000</v>
      </c>
      <c r="B3689" t="str">
        <f>"PUMP ASSY-WASHE"</f>
        <v>PUMP ASSY-WASHE</v>
      </c>
      <c r="C3689">
        <v>6</v>
      </c>
      <c r="D3689">
        <v>1161.9839999999999</v>
      </c>
    </row>
    <row r="3690" spans="1:4">
      <c r="A3690" t="str">
        <f>"28920-BU010"</f>
        <v>28920-BU010</v>
      </c>
      <c r="B3690" t="str">
        <f>"PUMP ASSY-WASHE"</f>
        <v>PUMP ASSY-WASHE</v>
      </c>
      <c r="C3690">
        <v>7</v>
      </c>
      <c r="D3690">
        <v>1110.9839999999999</v>
      </c>
    </row>
    <row r="3691" spans="1:4">
      <c r="A3691" t="str">
        <f>"28920-BU310"</f>
        <v>28920-BU310</v>
      </c>
      <c r="B3691" t="str">
        <f>"PUMP ASSY-WASHE"</f>
        <v>PUMP ASSY-WASHE</v>
      </c>
      <c r="C3691">
        <v>34</v>
      </c>
      <c r="D3691">
        <v>1255.4159999999999</v>
      </c>
    </row>
    <row r="3692" spans="1:4">
      <c r="A3692" t="str">
        <f>"28920-CA000"</f>
        <v>28920-CA000</v>
      </c>
      <c r="B3692" t="str">
        <f>"PUMP ASSY WASHE"</f>
        <v>PUMP ASSY WASHE</v>
      </c>
      <c r="C3692">
        <v>13</v>
      </c>
      <c r="D3692">
        <v>911.06399999999996</v>
      </c>
    </row>
    <row r="3693" spans="1:4">
      <c r="A3693" t="str">
        <f>"28920-CN000"</f>
        <v>28920-CN000</v>
      </c>
      <c r="B3693" t="str">
        <f t="shared" ref="B3693:B3700" si="76">"Насос омывателя"</f>
        <v>Насос омывателя</v>
      </c>
      <c r="C3693">
        <v>21</v>
      </c>
      <c r="D3693">
        <v>924.93599999999992</v>
      </c>
    </row>
    <row r="3694" spans="1:4">
      <c r="A3694" t="str">
        <f>"28920-EB300"</f>
        <v>28920-EB300</v>
      </c>
      <c r="B3694" t="str">
        <f t="shared" si="76"/>
        <v>Насос омывателя</v>
      </c>
      <c r="C3694">
        <v>9</v>
      </c>
      <c r="D3694">
        <v>1199.9280000000001</v>
      </c>
    </row>
    <row r="3695" spans="1:4">
      <c r="A3695" t="str">
        <f>"28920-EB320"</f>
        <v>28920-EB320</v>
      </c>
      <c r="B3695" t="str">
        <f t="shared" si="76"/>
        <v>Насос омывателя</v>
      </c>
      <c r="C3695">
        <v>7</v>
      </c>
      <c r="D3695">
        <v>1175.4479999999999</v>
      </c>
    </row>
    <row r="3696" spans="1:4">
      <c r="A3696" t="str">
        <f>"28920-EL00A"</f>
        <v>28920-EL00A</v>
      </c>
      <c r="B3696" t="str">
        <f t="shared" si="76"/>
        <v>Насос омывателя</v>
      </c>
      <c r="C3696">
        <v>17</v>
      </c>
      <c r="D3696">
        <v>678.096</v>
      </c>
    </row>
    <row r="3697" spans="1:4">
      <c r="A3697" t="str">
        <f>"28920-EM30A"</f>
        <v>28920-EM30A</v>
      </c>
      <c r="B3697" t="str">
        <f t="shared" si="76"/>
        <v>Насос омывателя</v>
      </c>
      <c r="C3697">
        <v>2</v>
      </c>
      <c r="D3697">
        <v>1689.9359999999999</v>
      </c>
    </row>
    <row r="3698" spans="1:4">
      <c r="A3698" t="str">
        <f>"28920-JA00A"</f>
        <v>28920-JA00A</v>
      </c>
      <c r="B3698" t="str">
        <f t="shared" si="76"/>
        <v>Насос омывателя</v>
      </c>
      <c r="C3698">
        <v>10</v>
      </c>
      <c r="D3698">
        <v>680.54399999999998</v>
      </c>
    </row>
    <row r="3699" spans="1:4">
      <c r="A3699" t="str">
        <f>"28920-JD00A"</f>
        <v>28920-JD00A</v>
      </c>
      <c r="B3699" t="str">
        <f t="shared" si="76"/>
        <v>Насос омывателя</v>
      </c>
      <c r="C3699">
        <v>4</v>
      </c>
      <c r="D3699">
        <v>1129.3440000000001</v>
      </c>
    </row>
    <row r="3700" spans="1:4">
      <c r="A3700" t="str">
        <f>"28920-JN00A"</f>
        <v>28920-JN00A</v>
      </c>
      <c r="B3700" t="str">
        <f t="shared" si="76"/>
        <v>Насос омывателя</v>
      </c>
      <c r="C3700">
        <v>25</v>
      </c>
      <c r="D3700">
        <v>970.22399999999993</v>
      </c>
    </row>
    <row r="3701" spans="1:4">
      <c r="A3701" t="str">
        <f>"28920-VE000"</f>
        <v>28920-VE000</v>
      </c>
      <c r="B3701" t="str">
        <f>"PUMP-WASHER"</f>
        <v>PUMP-WASHER</v>
      </c>
      <c r="C3701">
        <v>11</v>
      </c>
      <c r="D3701">
        <v>915.14400000000001</v>
      </c>
    </row>
    <row r="3702" spans="1:4">
      <c r="A3702" t="str">
        <f>"28920-WL000"</f>
        <v>28920-WL000</v>
      </c>
      <c r="B3702" t="str">
        <f>"Насос омывателя"</f>
        <v>Насос омывателя</v>
      </c>
      <c r="C3702">
        <v>0</v>
      </c>
      <c r="D3702">
        <v>942.07199999999989</v>
      </c>
    </row>
    <row r="3703" spans="1:4">
      <c r="A3703" t="str">
        <f>"28921-AU300"</f>
        <v>28921-AU300</v>
      </c>
      <c r="B3703" t="str">
        <f>"PACKING-WASHER"</f>
        <v>PACKING-WASHER</v>
      </c>
      <c r="C3703">
        <v>5</v>
      </c>
      <c r="D3703">
        <v>75.888000000000005</v>
      </c>
    </row>
    <row r="3704" spans="1:4">
      <c r="A3704" t="str">
        <f>"28930-1CD0A"</f>
        <v>28930-1CD0A</v>
      </c>
      <c r="B3704" t="str">
        <f>"Форсунка омывате"</f>
        <v>Форсунка омывате</v>
      </c>
      <c r="C3704">
        <v>1</v>
      </c>
      <c r="D3704">
        <v>510</v>
      </c>
    </row>
    <row r="3705" spans="1:4">
      <c r="A3705" t="str">
        <f>"28930-2F901"</f>
        <v>28930-2F901</v>
      </c>
      <c r="B3705" t="str">
        <f>"NOZZLE ASSY-WAS"</f>
        <v>NOZZLE ASSY-WAS</v>
      </c>
      <c r="C3705">
        <v>19</v>
      </c>
      <c r="D3705">
        <v>486.74399999999997</v>
      </c>
    </row>
    <row r="3706" spans="1:4">
      <c r="A3706" t="str">
        <f>"28930-2Y905"</f>
        <v>28930-2Y905</v>
      </c>
      <c r="B3706" t="str">
        <f>"NOZZLE ASSY-WAS"</f>
        <v>NOZZLE ASSY-WAS</v>
      </c>
      <c r="C3706">
        <v>8</v>
      </c>
      <c r="D3706">
        <v>443.904</v>
      </c>
    </row>
    <row r="3707" spans="1:4">
      <c r="A3707" t="str">
        <f>"28930-7F000"</f>
        <v>28930-7F000</v>
      </c>
      <c r="B3707" t="str">
        <f>"NOZZLE ASSY-WAS"</f>
        <v>NOZZLE ASSY-WAS</v>
      </c>
      <c r="C3707">
        <v>24</v>
      </c>
      <c r="D3707">
        <v>494.49599999999998</v>
      </c>
    </row>
    <row r="3708" spans="1:4">
      <c r="A3708" t="str">
        <f>"28930-7S000"</f>
        <v>28930-7S000</v>
      </c>
      <c r="B3708" t="str">
        <f>"Форсунка омывате"</f>
        <v>Форсунка омывате</v>
      </c>
      <c r="C3708">
        <v>5</v>
      </c>
      <c r="D3708">
        <v>142.392</v>
      </c>
    </row>
    <row r="3709" spans="1:4">
      <c r="A3709" t="str">
        <f>"28930-8H910"</f>
        <v>28930-8H910</v>
      </c>
      <c r="B3709" t="str">
        <f>"NOZZLE ASSY-WIN"</f>
        <v>NOZZLE ASSY-WIN</v>
      </c>
      <c r="C3709">
        <v>20</v>
      </c>
      <c r="D3709">
        <v>458.18399999999997</v>
      </c>
    </row>
    <row r="3710" spans="1:4">
      <c r="A3710" t="str">
        <f>"28930-AX600"</f>
        <v>28930-AX600</v>
      </c>
      <c r="B3710" t="str">
        <f>"NOZZLE ASSY-WAS"</f>
        <v>NOZZLE ASSY-WAS</v>
      </c>
      <c r="C3710">
        <v>56</v>
      </c>
      <c r="D3710">
        <v>502.65599999999995</v>
      </c>
    </row>
    <row r="3711" spans="1:4">
      <c r="A3711" t="str">
        <f>"28930-BU100"</f>
        <v>28930-BU100</v>
      </c>
      <c r="B3711" t="str">
        <f>"NOZZLE ASSY-WAS"</f>
        <v>NOZZLE ASSY-WAS</v>
      </c>
      <c r="C3711">
        <v>10</v>
      </c>
      <c r="D3711">
        <v>448.392</v>
      </c>
    </row>
    <row r="3712" spans="1:4">
      <c r="A3712" t="str">
        <f>"28930-CA000"</f>
        <v>28930-CA000</v>
      </c>
      <c r="B3712" t="str">
        <f>"Форсунка омывате"</f>
        <v>Форсунка омывате</v>
      </c>
      <c r="C3712">
        <v>27</v>
      </c>
      <c r="D3712">
        <v>432.88799999999998</v>
      </c>
    </row>
    <row r="3713" spans="1:4">
      <c r="A3713" t="str">
        <f>"28931-1CD0A"</f>
        <v>28931-1CD0A</v>
      </c>
      <c r="B3713" t="str">
        <f>"Форсунка омывате"</f>
        <v>Форсунка омывате</v>
      </c>
      <c r="C3713">
        <v>0</v>
      </c>
      <c r="D3713">
        <v>500.61599999999999</v>
      </c>
    </row>
    <row r="3714" spans="1:4">
      <c r="A3714" t="str">
        <f>"28931-2F901"</f>
        <v>28931-2F901</v>
      </c>
      <c r="B3714" t="str">
        <f>"NOZZLE ASSY-WAS"</f>
        <v>NOZZLE ASSY-WAS</v>
      </c>
      <c r="C3714">
        <v>13</v>
      </c>
      <c r="D3714">
        <v>487.56</v>
      </c>
    </row>
    <row r="3715" spans="1:4">
      <c r="A3715" t="str">
        <f>"28931-2Y905"</f>
        <v>28931-2Y905</v>
      </c>
      <c r="B3715" t="str">
        <f>"NOZZLE ASSY-WAS"</f>
        <v>NOZZLE ASSY-WAS</v>
      </c>
      <c r="C3715">
        <v>4</v>
      </c>
      <c r="D3715">
        <v>454.512</v>
      </c>
    </row>
    <row r="3716" spans="1:4">
      <c r="A3716" t="str">
        <f>"28931-7F000"</f>
        <v>28931-7F000</v>
      </c>
      <c r="B3716" t="str">
        <f>"NOZZLE ASSY-WAS"</f>
        <v>NOZZLE ASSY-WAS</v>
      </c>
      <c r="C3716">
        <v>5</v>
      </c>
      <c r="D3716">
        <v>410.44800000000004</v>
      </c>
    </row>
    <row r="3717" spans="1:4">
      <c r="A3717" t="str">
        <f>"28931-7S000"</f>
        <v>28931-7S000</v>
      </c>
      <c r="B3717" t="str">
        <f>"Форсунка омывате"</f>
        <v>Форсунка омывате</v>
      </c>
      <c r="C3717">
        <v>5</v>
      </c>
      <c r="D3717">
        <v>142.392</v>
      </c>
    </row>
    <row r="3718" spans="1:4">
      <c r="A3718" t="str">
        <f>"28931-8H910"</f>
        <v>28931-8H910</v>
      </c>
      <c r="B3718" t="str">
        <f>"NOZZLE WASH LH"</f>
        <v>NOZZLE WASH LH</v>
      </c>
      <c r="C3718">
        <v>8</v>
      </c>
      <c r="D3718">
        <v>454.512</v>
      </c>
    </row>
    <row r="3719" spans="1:4">
      <c r="A3719" t="str">
        <f>"28931-9F900"</f>
        <v>28931-9F900</v>
      </c>
      <c r="B3719" t="str">
        <f>"NOZZLE ASSY-WAS"</f>
        <v>NOZZLE ASSY-WAS</v>
      </c>
      <c r="C3719">
        <v>9</v>
      </c>
      <c r="D3719">
        <v>496.53599999999994</v>
      </c>
    </row>
    <row r="3720" spans="1:4">
      <c r="A3720" t="str">
        <f>"28931-AU000"</f>
        <v>28931-AU000</v>
      </c>
      <c r="B3720" t="str">
        <f>"Форсунка омывате"</f>
        <v>Форсунка омывате</v>
      </c>
      <c r="C3720">
        <v>41</v>
      </c>
      <c r="D3720">
        <v>535.29599999999994</v>
      </c>
    </row>
    <row r="3721" spans="1:4">
      <c r="A3721" t="str">
        <f>"28931-ED000"</f>
        <v>28931-ED000</v>
      </c>
      <c r="B3721" t="str">
        <f>"Форсунка омывате"</f>
        <v>Форсунка омывате</v>
      </c>
      <c r="C3721">
        <v>26</v>
      </c>
      <c r="D3721">
        <v>432.88799999999998</v>
      </c>
    </row>
    <row r="3722" spans="1:4">
      <c r="A3722" t="str">
        <f>"28932-9C002"</f>
        <v>28932-9C002</v>
      </c>
      <c r="B3722" t="str">
        <f>"NOZZLE ASSY-WAS"</f>
        <v>NOZZLE ASSY-WAS</v>
      </c>
      <c r="C3722">
        <v>6</v>
      </c>
      <c r="D3722">
        <v>681.76799999999992</v>
      </c>
    </row>
    <row r="3723" spans="1:4">
      <c r="A3723" t="str">
        <f>"28932-9U000"</f>
        <v>28932-9U000</v>
      </c>
      <c r="B3723" t="str">
        <f t="shared" ref="B3723:B3728" si="77">"Форсунка омывате"</f>
        <v>Форсунка омывате</v>
      </c>
      <c r="C3723">
        <v>49</v>
      </c>
      <c r="D3723">
        <v>494.08799999999997</v>
      </c>
    </row>
    <row r="3724" spans="1:4">
      <c r="A3724" t="str">
        <f>"28932-EB300"</f>
        <v>28932-EB300</v>
      </c>
      <c r="B3724" t="str">
        <f t="shared" si="77"/>
        <v>Форсунка омывате</v>
      </c>
      <c r="C3724">
        <v>39</v>
      </c>
      <c r="D3724">
        <v>508.36799999999994</v>
      </c>
    </row>
    <row r="3725" spans="1:4">
      <c r="A3725" t="str">
        <f>"28932-EJ70A"</f>
        <v>28932-EJ70A</v>
      </c>
      <c r="B3725" t="str">
        <f t="shared" si="77"/>
        <v>Форсунка омывате</v>
      </c>
      <c r="C3725">
        <v>12</v>
      </c>
      <c r="D3725">
        <v>1636.896</v>
      </c>
    </row>
    <row r="3726" spans="1:4">
      <c r="A3726" t="str">
        <f>"28932-JD000"</f>
        <v>28932-JD000</v>
      </c>
      <c r="B3726" t="str">
        <f t="shared" si="77"/>
        <v>Форсунка омывате</v>
      </c>
      <c r="C3726">
        <v>75</v>
      </c>
      <c r="D3726">
        <v>496.53599999999994</v>
      </c>
    </row>
    <row r="3727" spans="1:4">
      <c r="A3727" t="str">
        <f>"28932-JN20A"</f>
        <v>28932-JN20A</v>
      </c>
      <c r="B3727" t="str">
        <f t="shared" si="77"/>
        <v>Форсунка омывате</v>
      </c>
      <c r="C3727">
        <v>54</v>
      </c>
      <c r="D3727">
        <v>456.14400000000001</v>
      </c>
    </row>
    <row r="3728" spans="1:4">
      <c r="A3728" t="str">
        <f>"28932-JN21A"</f>
        <v>28932-JN21A</v>
      </c>
      <c r="B3728" t="str">
        <f t="shared" si="77"/>
        <v>Форсунка омывате</v>
      </c>
      <c r="C3728">
        <v>55</v>
      </c>
      <c r="D3728">
        <v>456.14400000000001</v>
      </c>
    </row>
    <row r="3729" spans="1:4">
      <c r="A3729" t="str">
        <f>"28937-17V00"</f>
        <v>28937-17V00</v>
      </c>
      <c r="B3729" t="str">
        <f>"TEE-TUBE"</f>
        <v>TEE-TUBE</v>
      </c>
      <c r="C3729">
        <v>5</v>
      </c>
      <c r="D3729">
        <v>150.95999999999998</v>
      </c>
    </row>
    <row r="3730" spans="1:4">
      <c r="A3730" t="str">
        <f>"28937-9F900"</f>
        <v>28937-9F900</v>
      </c>
      <c r="B3730" t="str">
        <f>"JOINT-WASHER TU"</f>
        <v>JOINT-WASHER TU</v>
      </c>
      <c r="C3730">
        <v>21</v>
      </c>
      <c r="D3730">
        <v>156.26399999999998</v>
      </c>
    </row>
    <row r="3731" spans="1:4">
      <c r="A3731" t="str">
        <f>"28937-9F901"</f>
        <v>28937-9F901</v>
      </c>
      <c r="B3731" t="str">
        <f>"JOINT-WASHER TU"</f>
        <v>JOINT-WASHER TU</v>
      </c>
      <c r="C3731">
        <v>20</v>
      </c>
      <c r="D3731">
        <v>156.672</v>
      </c>
    </row>
    <row r="3732" spans="1:4">
      <c r="A3732" t="str">
        <f>"28937-AQ000"</f>
        <v>28937-AQ000</v>
      </c>
      <c r="B3732" t="str">
        <f>"CONNECTOR-TUBE"</f>
        <v>CONNECTOR-TUBE</v>
      </c>
      <c r="C3732">
        <v>34</v>
      </c>
      <c r="D3732">
        <v>143.61600000000001</v>
      </c>
    </row>
    <row r="3733" spans="1:4">
      <c r="A3733" t="str">
        <f>"28937-AX600"</f>
        <v>28937-AX600</v>
      </c>
      <c r="B3733" t="str">
        <f>"JOINT-WASHER TU"</f>
        <v>JOINT-WASHER TU</v>
      </c>
      <c r="C3733">
        <v>21</v>
      </c>
      <c r="D3733">
        <v>303.95999999999998</v>
      </c>
    </row>
    <row r="3734" spans="1:4">
      <c r="A3734" t="str">
        <f>"28937-BC00A"</f>
        <v>28937-BC00A</v>
      </c>
      <c r="B3734" t="str">
        <f>"Переходник шлангов о"</f>
        <v>Переходник шлангов о</v>
      </c>
      <c r="C3734">
        <v>14</v>
      </c>
      <c r="D3734">
        <v>313.75199999999995</v>
      </c>
    </row>
    <row r="3735" spans="1:4">
      <c r="A3735" t="str">
        <f>"28937-BC00B"</f>
        <v>28937-BC00B</v>
      </c>
      <c r="B3735" t="str">
        <f>"Переходник шлангов о"</f>
        <v>Переходник шлангов о</v>
      </c>
      <c r="C3735">
        <v>40</v>
      </c>
      <c r="D3735">
        <v>312.52799999999996</v>
      </c>
    </row>
    <row r="3736" spans="1:4">
      <c r="A3736" t="str">
        <f>"28937-BN500"</f>
        <v>28937-BN500</v>
      </c>
      <c r="B3736" t="str">
        <f>"JOINT-WASHER TU"</f>
        <v>JOINT-WASHER TU</v>
      </c>
      <c r="C3736">
        <v>1</v>
      </c>
      <c r="D3736">
        <v>106.08</v>
      </c>
    </row>
    <row r="3737" spans="1:4">
      <c r="A3737" t="str">
        <f>"28937-BN700"</f>
        <v>28937-BN700</v>
      </c>
      <c r="B3737" t="str">
        <f>"JOINT-WASHER TU"</f>
        <v>JOINT-WASHER TU</v>
      </c>
      <c r="C3737">
        <v>4</v>
      </c>
      <c r="D3737">
        <v>306.40800000000002</v>
      </c>
    </row>
    <row r="3738" spans="1:4">
      <c r="A3738" t="str">
        <f>"28937-BN701"</f>
        <v>28937-BN701</v>
      </c>
      <c r="B3738" t="str">
        <f>"JOINT-WASHER TU"</f>
        <v>JOINT-WASHER TU</v>
      </c>
      <c r="C3738">
        <v>6</v>
      </c>
      <c r="D3738">
        <v>301.91999999999996</v>
      </c>
    </row>
    <row r="3739" spans="1:4">
      <c r="A3739" t="str">
        <f>"28937-JD00A"</f>
        <v>28937-JD00A</v>
      </c>
      <c r="B3739" t="str">
        <f>"Переходник шланга ом"</f>
        <v>Переходник шланга ом</v>
      </c>
      <c r="C3739">
        <v>0</v>
      </c>
      <c r="D3739">
        <v>149.328</v>
      </c>
    </row>
    <row r="3740" spans="1:4">
      <c r="A3740" t="str">
        <f>"28937-JD00B"</f>
        <v>28937-JD00B</v>
      </c>
      <c r="B3740" t="str">
        <f>"Переходник шлангов о"</f>
        <v>Переходник шлангов о</v>
      </c>
      <c r="C3740">
        <v>2</v>
      </c>
      <c r="D3740">
        <v>548.35199999999998</v>
      </c>
    </row>
    <row r="3741" spans="1:4">
      <c r="A3741" t="str">
        <f>"28937-V4400"</f>
        <v>28937-V4400</v>
      </c>
      <c r="B3741" t="str">
        <f>"JOINT-WASHER TU"</f>
        <v>JOINT-WASHER TU</v>
      </c>
      <c r="C3741">
        <v>7</v>
      </c>
      <c r="D3741">
        <v>93.023999999999987</v>
      </c>
    </row>
    <row r="3742" spans="1:4">
      <c r="A3742" t="str">
        <f>"28938-0Y700"</f>
        <v>28938-0Y700</v>
      </c>
      <c r="B3742" t="str">
        <f>"VALVE ASSY-CHEC"</f>
        <v>VALVE ASSY-CHEC</v>
      </c>
      <c r="C3742">
        <v>8</v>
      </c>
      <c r="D3742">
        <v>497.35199999999998</v>
      </c>
    </row>
    <row r="3743" spans="1:4">
      <c r="A3743" t="str">
        <f>"28938-15U00"</f>
        <v>28938-15U00</v>
      </c>
      <c r="B3743" t="str">
        <f>"VALVE-CHECK"</f>
        <v>VALVE-CHECK</v>
      </c>
      <c r="C3743">
        <v>6</v>
      </c>
      <c r="D3743">
        <v>429.62399999999997</v>
      </c>
    </row>
    <row r="3744" spans="1:4">
      <c r="A3744" t="str">
        <f>"28938-AU300"</f>
        <v>28938-AU300</v>
      </c>
      <c r="B3744" t="str">
        <f>"VALVE-WASHER"</f>
        <v>VALVE-WASHER</v>
      </c>
      <c r="C3744">
        <v>11</v>
      </c>
      <c r="D3744">
        <v>386.78399999999999</v>
      </c>
    </row>
    <row r="3745" spans="1:4">
      <c r="A3745" t="str">
        <f>"28938-BR00A"</f>
        <v>28938-BR00A</v>
      </c>
      <c r="B3745" t="str">
        <f>"Клапан перепускн"</f>
        <v>Клапан перепускн</v>
      </c>
      <c r="C3745">
        <v>0</v>
      </c>
      <c r="D3745">
        <v>266.42399999999998</v>
      </c>
    </row>
    <row r="3746" spans="1:4">
      <c r="A3746" t="str">
        <f>"28940-VB007"</f>
        <v>28940-VB007</v>
      </c>
      <c r="B3746" t="str">
        <f>"HOSE-WASHER"</f>
        <v>HOSE-WASHER</v>
      </c>
      <c r="C3746">
        <v>1</v>
      </c>
      <c r="D3746">
        <v>601.79999999999995</v>
      </c>
    </row>
    <row r="3747" spans="1:4">
      <c r="A3747" t="str">
        <f>"28945-9F901"</f>
        <v>28945-9F901</v>
      </c>
      <c r="B3747" t="str">
        <f>"CLIP"</f>
        <v>CLIP</v>
      </c>
      <c r="C3747">
        <v>3</v>
      </c>
      <c r="D3747">
        <v>34.68</v>
      </c>
    </row>
    <row r="3748" spans="1:4">
      <c r="A3748" t="str">
        <f>"28945-VB200"</f>
        <v>28945-VB200</v>
      </c>
      <c r="B3748" t="str">
        <f>"CLIP-WASHER HOS"</f>
        <v>CLIP-WASHER HOS</v>
      </c>
      <c r="C3748">
        <v>3</v>
      </c>
      <c r="D3748">
        <v>113.83199999999999</v>
      </c>
    </row>
    <row r="3749" spans="1:4">
      <c r="A3749" t="str">
        <f>"28970-4M400"</f>
        <v>28970-4M400</v>
      </c>
      <c r="B3749" t="str">
        <f>"Форсунка омывате"</f>
        <v>Форсунка омывате</v>
      </c>
      <c r="C3749">
        <v>32</v>
      </c>
      <c r="D3749">
        <v>438.59999999999997</v>
      </c>
    </row>
    <row r="3750" spans="1:4">
      <c r="A3750" t="str">
        <f>"28970-8F800"</f>
        <v>28970-8F800</v>
      </c>
      <c r="B3750" t="str">
        <f>"NOZZLE-REAR WIN"</f>
        <v>NOZZLE-REAR WIN</v>
      </c>
      <c r="C3750">
        <v>10</v>
      </c>
      <c r="D3750">
        <v>441.048</v>
      </c>
    </row>
    <row r="3751" spans="1:4">
      <c r="A3751" t="str">
        <f>"28970-9U000"</f>
        <v>28970-9U000</v>
      </c>
      <c r="B3751" t="str">
        <f>"Форсунка омывате"</f>
        <v>Форсунка омывате</v>
      </c>
      <c r="C3751">
        <v>20</v>
      </c>
      <c r="D3751">
        <v>506.73599999999993</v>
      </c>
    </row>
    <row r="3752" spans="1:4">
      <c r="A3752" t="str">
        <f>"28970-AU201"</f>
        <v>28970-AU201</v>
      </c>
      <c r="B3752" t="str">
        <f>"NOZZLE ASSY-REA"</f>
        <v>NOZZLE ASSY-REA</v>
      </c>
      <c r="C3752">
        <v>2</v>
      </c>
      <c r="D3752">
        <v>490.00799999999992</v>
      </c>
    </row>
    <row r="3753" spans="1:4">
      <c r="A3753" t="str">
        <f>"28970-BC30A"</f>
        <v>28970-BC30A</v>
      </c>
      <c r="B3753" t="str">
        <f>"Форсунка омывате"</f>
        <v>Форсунка омывате</v>
      </c>
      <c r="C3753">
        <v>0</v>
      </c>
      <c r="D3753">
        <v>496.12799999999999</v>
      </c>
    </row>
    <row r="3754" spans="1:4">
      <c r="A3754" t="str">
        <f>"28970-JD00A"</f>
        <v>28970-JD00A</v>
      </c>
      <c r="B3754" t="str">
        <f>"Форсунка омывате"</f>
        <v>Форсунка омывате</v>
      </c>
      <c r="C3754">
        <v>0</v>
      </c>
      <c r="D3754">
        <v>250.92</v>
      </c>
    </row>
    <row r="3755" spans="1:4">
      <c r="A3755" t="str">
        <f>"28970-JG000"</f>
        <v>28970-JG000</v>
      </c>
      <c r="B3755" t="str">
        <f>"Форсунка омывате"</f>
        <v>Форсунка омывате</v>
      </c>
      <c r="C3755">
        <v>11</v>
      </c>
      <c r="D3755">
        <v>419.83199999999999</v>
      </c>
    </row>
    <row r="3756" spans="1:4">
      <c r="A3756" t="str">
        <f>"30001-01GX5"</f>
        <v>30001-01GX5</v>
      </c>
      <c r="B3756" t="str">
        <f>"CLUTCH KIT"</f>
        <v>CLUTCH KIT</v>
      </c>
      <c r="C3756">
        <v>2</v>
      </c>
      <c r="D3756">
        <v>6324</v>
      </c>
    </row>
    <row r="3757" spans="1:4">
      <c r="A3757" t="str">
        <f>"30001-2F026"</f>
        <v>30001-2F026</v>
      </c>
      <c r="B3757" t="str">
        <f>"CLUTCH KIT"</f>
        <v>CLUTCH KIT</v>
      </c>
      <c r="C3757">
        <v>0</v>
      </c>
      <c r="D3757">
        <v>5576.9520000000002</v>
      </c>
    </row>
    <row r="3758" spans="1:4">
      <c r="A3758" t="str">
        <f>"30001-2F206"</f>
        <v>30001-2F206</v>
      </c>
      <c r="B3758" t="str">
        <f>"CLUTCH KIT"</f>
        <v>CLUTCH KIT</v>
      </c>
      <c r="C3758">
        <v>2</v>
      </c>
      <c r="D3758">
        <v>5601.8399999999992</v>
      </c>
    </row>
    <row r="3759" spans="1:4">
      <c r="A3759" t="str">
        <f>"30001-3T7X5"</f>
        <v>30001-3T7X5</v>
      </c>
      <c r="B3759" t="str">
        <f>"CLUTCH KIT"</f>
        <v>CLUTCH KIT</v>
      </c>
      <c r="C3759">
        <v>1</v>
      </c>
      <c r="D3759">
        <v>3798.48</v>
      </c>
    </row>
    <row r="3760" spans="1:4">
      <c r="A3760" t="str">
        <f>"30001-53Y0J"</f>
        <v>30001-53Y0J</v>
      </c>
      <c r="B3760" t="str">
        <f>"Сцепление к-т (диск,"</f>
        <v>Сцепление к-т (диск,</v>
      </c>
      <c r="C3760">
        <v>1</v>
      </c>
      <c r="D3760">
        <v>3441.0719999999997</v>
      </c>
    </row>
    <row r="3761" spans="1:4">
      <c r="A3761" t="str">
        <f>"30001-7C029"</f>
        <v>30001-7C029</v>
      </c>
      <c r="B3761" t="str">
        <f>"CLUTCH KIT"</f>
        <v>CLUTCH KIT</v>
      </c>
      <c r="C3761">
        <v>0</v>
      </c>
      <c r="D3761">
        <v>6406.4160000000002</v>
      </c>
    </row>
    <row r="3762" spans="1:4">
      <c r="A3762" t="str">
        <f>"30001-9C528"</f>
        <v>30001-9C528</v>
      </c>
      <c r="B3762" t="str">
        <f>"CLUTCH KIT"</f>
        <v>CLUTCH KIT</v>
      </c>
      <c r="C3762">
        <v>2</v>
      </c>
      <c r="D3762">
        <v>6346.0319999999992</v>
      </c>
    </row>
    <row r="3763" spans="1:4">
      <c r="A3763" t="str">
        <f>"30100-01TX2"</f>
        <v>30100-01TX2</v>
      </c>
      <c r="B3763" t="str">
        <f>"Диск сцепления"</f>
        <v>Диск сцепления</v>
      </c>
      <c r="C3763">
        <v>1</v>
      </c>
      <c r="D3763">
        <v>2645.4719999999998</v>
      </c>
    </row>
    <row r="3764" spans="1:4">
      <c r="A3764" t="str">
        <f>"30100-01TX3"</f>
        <v>30100-01TX3</v>
      </c>
      <c r="B3764" t="str">
        <f>"Диск сцепления"</f>
        <v>Диск сцепления</v>
      </c>
      <c r="C3764">
        <v>2</v>
      </c>
      <c r="D3764">
        <v>2645.4719999999998</v>
      </c>
    </row>
    <row r="3765" spans="1:4">
      <c r="A3765" t="str">
        <f>"30100-06JXG"</f>
        <v>30100-06JXG</v>
      </c>
      <c r="B3765" t="str">
        <f>"Диск сцепления"</f>
        <v>Диск сцепления</v>
      </c>
      <c r="C3765">
        <v>4</v>
      </c>
      <c r="D3765">
        <v>3892.7280000000001</v>
      </c>
    </row>
    <row r="3766" spans="1:4">
      <c r="A3766" t="str">
        <f>"30100-0M3X1"</f>
        <v>30100-0M3X1</v>
      </c>
      <c r="B3766" t="str">
        <f>"Диск сцепления"</f>
        <v>Диск сцепления</v>
      </c>
      <c r="C3766">
        <v>1</v>
      </c>
      <c r="D3766">
        <v>1372.104</v>
      </c>
    </row>
    <row r="3767" spans="1:4">
      <c r="A3767" t="str">
        <f>"30100-0W0X4"</f>
        <v>30100-0W0X4</v>
      </c>
      <c r="B3767" t="str">
        <f>"Диск сцепления"</f>
        <v>Диск сцепления</v>
      </c>
      <c r="C3767">
        <v>0</v>
      </c>
      <c r="D3767">
        <v>3191.3759999999997</v>
      </c>
    </row>
    <row r="3768" spans="1:4">
      <c r="A3768" t="str">
        <f>"30100-2F217"</f>
        <v>30100-2F217</v>
      </c>
      <c r="B3768" t="str">
        <f>"DISC ASSY-CLUTC"</f>
        <v>DISC ASSY-CLUTC</v>
      </c>
      <c r="C3768">
        <v>0</v>
      </c>
      <c r="D3768">
        <v>2722.9919999999997</v>
      </c>
    </row>
    <row r="3769" spans="1:4">
      <c r="A3769" t="str">
        <f>"30100-2F218"</f>
        <v>30100-2F218</v>
      </c>
      <c r="B3769" t="str">
        <f>"DISC ASSY-CLUTC"</f>
        <v>DISC ASSY-CLUTC</v>
      </c>
      <c r="C3769">
        <v>3</v>
      </c>
      <c r="D3769">
        <v>2740.1280000000002</v>
      </c>
    </row>
    <row r="3770" spans="1:4">
      <c r="A3770" t="str">
        <f>"30100-2F60A"</f>
        <v>30100-2F60A</v>
      </c>
      <c r="B3770" t="str">
        <f>"Диск сцепления"</f>
        <v>Диск сцепления</v>
      </c>
      <c r="C3770">
        <v>3</v>
      </c>
      <c r="D3770">
        <v>2877.6239999999998</v>
      </c>
    </row>
    <row r="3771" spans="1:4">
      <c r="A3771" t="str">
        <f>"30100-2TB1B"</f>
        <v>30100-2TB1B</v>
      </c>
      <c r="B3771" t="str">
        <f>"Диск сцепления"</f>
        <v>Диск сцепления</v>
      </c>
      <c r="C3771">
        <v>3</v>
      </c>
      <c r="D3771">
        <v>4344.384</v>
      </c>
    </row>
    <row r="3772" spans="1:4">
      <c r="A3772" t="str">
        <f>"30100-2Y004"</f>
        <v>30100-2Y004</v>
      </c>
      <c r="B3772" t="str">
        <f>"CLUTCH DISC"</f>
        <v>CLUTCH DISC</v>
      </c>
      <c r="C3772">
        <v>0</v>
      </c>
      <c r="D3772">
        <v>3467.1840000000002</v>
      </c>
    </row>
    <row r="3773" spans="1:4">
      <c r="A3773" t="str">
        <f>"30100-31U04"</f>
        <v>30100-31U04</v>
      </c>
      <c r="B3773" t="str">
        <f>"CLUTCH DISC"</f>
        <v>CLUTCH DISC</v>
      </c>
      <c r="C3773">
        <v>2</v>
      </c>
      <c r="D3773">
        <v>3301.944</v>
      </c>
    </row>
    <row r="3774" spans="1:4">
      <c r="A3774" t="str">
        <f>"30100-33MX6"</f>
        <v>30100-33MX6</v>
      </c>
      <c r="B3774" t="str">
        <f>"Диск сцепления"</f>
        <v>Диск сцепления</v>
      </c>
      <c r="C3774">
        <v>4</v>
      </c>
      <c r="D3774">
        <v>1327.2239999999999</v>
      </c>
    </row>
    <row r="3775" spans="1:4">
      <c r="A3775" t="str">
        <f>"30100-40UX2"</f>
        <v>30100-40UX2</v>
      </c>
      <c r="B3775" t="str">
        <f>"Диск сцепления"</f>
        <v>Диск сцепления</v>
      </c>
      <c r="C3775">
        <v>5</v>
      </c>
      <c r="D3775">
        <v>2386.7999999999997</v>
      </c>
    </row>
    <row r="3776" spans="1:4">
      <c r="A3776" t="str">
        <f>"30100-4M4X5"</f>
        <v>30100-4M4X5</v>
      </c>
      <c r="B3776" t="str">
        <f>"Диск сцепления"</f>
        <v>Диск сцепления</v>
      </c>
      <c r="C3776">
        <v>10</v>
      </c>
      <c r="D3776">
        <v>2009.3999999999999</v>
      </c>
    </row>
    <row r="3777" spans="1:4">
      <c r="A3777" t="str">
        <f>"30100-52AX6"</f>
        <v>30100-52AX6</v>
      </c>
      <c r="B3777" t="str">
        <f>"Диск сцепления"</f>
        <v>Диск сцепления</v>
      </c>
      <c r="C3777">
        <v>5</v>
      </c>
      <c r="D3777">
        <v>1372.104</v>
      </c>
    </row>
    <row r="3778" spans="1:4">
      <c r="A3778" t="str">
        <f>"30100-53JX5"</f>
        <v>30100-53JX5</v>
      </c>
      <c r="B3778" t="str">
        <f>"CLUTCH DISC"</f>
        <v>CLUTCH DISC</v>
      </c>
      <c r="C3778">
        <v>4</v>
      </c>
      <c r="D3778">
        <v>2326.4160000000002</v>
      </c>
    </row>
    <row r="3779" spans="1:4">
      <c r="A3779" t="str">
        <f>"30100-8H30A"</f>
        <v>30100-8H30A</v>
      </c>
      <c r="B3779" t="str">
        <f>"Диск сцепления"</f>
        <v>Диск сцепления</v>
      </c>
      <c r="C3779">
        <v>5</v>
      </c>
      <c r="D3779">
        <v>3441.48</v>
      </c>
    </row>
    <row r="3780" spans="1:4">
      <c r="A3780" t="str">
        <f>"30100-95F0B"</f>
        <v>30100-95F0B</v>
      </c>
      <c r="B3780" t="str">
        <f>"Диск сцепления"</f>
        <v>Диск сцепления</v>
      </c>
      <c r="C3780">
        <v>16</v>
      </c>
      <c r="D3780">
        <v>2233.3919999999998</v>
      </c>
    </row>
    <row r="3781" spans="1:4">
      <c r="A3781" t="str">
        <f>"30100-AU000"</f>
        <v>30100-AU000</v>
      </c>
      <c r="B3781" t="str">
        <f>"DISC ASSY-CLUTC"</f>
        <v>DISC ASSY-CLUTC</v>
      </c>
      <c r="C3781">
        <v>3</v>
      </c>
      <c r="D3781">
        <v>2857.6320000000001</v>
      </c>
    </row>
    <row r="3782" spans="1:4">
      <c r="A3782" t="str">
        <f>"30100-AU010"</f>
        <v>30100-AU010</v>
      </c>
      <c r="B3782" t="str">
        <f>"DISC ASSY-CLUTC"</f>
        <v>DISC ASSY-CLUTC</v>
      </c>
      <c r="C3782">
        <v>16</v>
      </c>
      <c r="D3782">
        <v>2977.5840000000003</v>
      </c>
    </row>
    <row r="3783" spans="1:4">
      <c r="A3783" t="str">
        <f>"30100-AU400"</f>
        <v>30100-AU400</v>
      </c>
      <c r="B3783" t="str">
        <f>"DISC ASSY-CLUTC"</f>
        <v>DISC ASSY-CLUTC</v>
      </c>
      <c r="C3783">
        <v>3</v>
      </c>
      <c r="D3783">
        <v>2971.4639999999995</v>
      </c>
    </row>
    <row r="3784" spans="1:4">
      <c r="A3784" t="str">
        <f>"30100-AU600"</f>
        <v>30100-AU600</v>
      </c>
      <c r="B3784" t="str">
        <f>"Диск сцепления"</f>
        <v>Диск сцепления</v>
      </c>
      <c r="C3784">
        <v>3</v>
      </c>
      <c r="D3784">
        <v>2946.1679999999997</v>
      </c>
    </row>
    <row r="3785" spans="1:4">
      <c r="A3785" t="str">
        <f>"30100-CD019"</f>
        <v>30100-CD019</v>
      </c>
      <c r="B3785" t="str">
        <f>"CLUTCH DISC"</f>
        <v>CLUTCH DISC</v>
      </c>
      <c r="C3785">
        <v>0</v>
      </c>
      <c r="D3785">
        <v>4217.4960000000001</v>
      </c>
    </row>
    <row r="3786" spans="1:4">
      <c r="A3786" t="str">
        <f>"30100-D33X6"</f>
        <v>30100-D33X6</v>
      </c>
      <c r="B3786" t="str">
        <f t="shared" ref="B3786:B3796" si="78">"Диск сцепления"</f>
        <v>Диск сцепления</v>
      </c>
      <c r="C3786">
        <v>20</v>
      </c>
      <c r="D3786">
        <v>1729.9199999999998</v>
      </c>
    </row>
    <row r="3787" spans="1:4">
      <c r="A3787" t="str">
        <f>"30100-ED800"</f>
        <v>30100-ED800</v>
      </c>
      <c r="B3787" t="str">
        <f t="shared" si="78"/>
        <v>Диск сцепления</v>
      </c>
      <c r="C3787">
        <v>2</v>
      </c>
      <c r="D3787">
        <v>2830.2959999999998</v>
      </c>
    </row>
    <row r="3788" spans="1:4">
      <c r="A3788" t="str">
        <f>"30100-ED80A"</f>
        <v>30100-ED80A</v>
      </c>
      <c r="B3788" t="str">
        <f t="shared" si="78"/>
        <v>Диск сцепления</v>
      </c>
      <c r="C3788">
        <v>19</v>
      </c>
      <c r="D3788">
        <v>3738.5039999999999</v>
      </c>
    </row>
    <row r="3789" spans="1:4">
      <c r="A3789" t="str">
        <f>"30100-ED80B"</f>
        <v>30100-ED80B</v>
      </c>
      <c r="B3789" t="str">
        <f t="shared" si="78"/>
        <v>Диск сцепления</v>
      </c>
      <c r="C3789">
        <v>0</v>
      </c>
      <c r="D3789">
        <v>2830.2959999999998</v>
      </c>
    </row>
    <row r="3790" spans="1:4">
      <c r="A3790" t="str">
        <f>"30100-EQ00A"</f>
        <v>30100-EQ00A</v>
      </c>
      <c r="B3790" t="str">
        <f t="shared" si="78"/>
        <v>Диск сцепления</v>
      </c>
      <c r="C3790">
        <v>5</v>
      </c>
      <c r="D3790">
        <v>3386.4</v>
      </c>
    </row>
    <row r="3791" spans="1:4">
      <c r="A3791" t="str">
        <f>"30100-JA00A"</f>
        <v>30100-JA00A</v>
      </c>
      <c r="B3791" t="str">
        <f t="shared" si="78"/>
        <v>Диск сцепления</v>
      </c>
      <c r="C3791">
        <v>2</v>
      </c>
      <c r="D3791">
        <v>3223.6080000000002</v>
      </c>
    </row>
    <row r="3792" spans="1:4">
      <c r="A3792" t="str">
        <f>"30100-JS10A"</f>
        <v>30100-JS10A</v>
      </c>
      <c r="B3792" t="str">
        <f t="shared" si="78"/>
        <v>Диск сцепления</v>
      </c>
      <c r="C3792">
        <v>8</v>
      </c>
      <c r="D3792">
        <v>3463.9199999999996</v>
      </c>
    </row>
    <row r="3793" spans="1:4">
      <c r="A3793" t="str">
        <f>"30100-JS10C"</f>
        <v>30100-JS10C</v>
      </c>
      <c r="B3793" t="str">
        <f t="shared" si="78"/>
        <v>Диск сцепления</v>
      </c>
      <c r="C3793">
        <v>10</v>
      </c>
      <c r="D3793">
        <v>5059.6080000000002</v>
      </c>
    </row>
    <row r="3794" spans="1:4">
      <c r="A3794" t="str">
        <f>"30100-N42X6"</f>
        <v>30100-N42X6</v>
      </c>
      <c r="B3794" t="str">
        <f t="shared" si="78"/>
        <v>Диск сцепления</v>
      </c>
      <c r="C3794">
        <v>3</v>
      </c>
      <c r="D3794">
        <v>2201.9760000000001</v>
      </c>
    </row>
    <row r="3795" spans="1:4">
      <c r="A3795" t="str">
        <f>"30100-T80XE"</f>
        <v>30100-T80XE</v>
      </c>
      <c r="B3795" t="str">
        <f t="shared" si="78"/>
        <v>Диск сцепления</v>
      </c>
      <c r="C3795">
        <v>27</v>
      </c>
      <c r="D3795">
        <v>3629.5679999999998</v>
      </c>
    </row>
    <row r="3796" spans="1:4">
      <c r="A3796" t="str">
        <f>"30100-VB31A"</f>
        <v>30100-VB31A</v>
      </c>
      <c r="B3796" t="str">
        <f t="shared" si="78"/>
        <v>Диск сцепления</v>
      </c>
      <c r="C3796">
        <v>11</v>
      </c>
      <c r="D3796">
        <v>3601.0080000000003</v>
      </c>
    </row>
    <row r="3797" spans="1:4">
      <c r="A3797" t="str">
        <f>"30210-01JXM"</f>
        <v>30210-01JXM</v>
      </c>
      <c r="B3797" t="str">
        <f>"Корзина сцеплени"</f>
        <v>Корзина сцеплени</v>
      </c>
      <c r="C3797">
        <v>4</v>
      </c>
      <c r="D3797">
        <v>5624.6879999999992</v>
      </c>
    </row>
    <row r="3798" spans="1:4">
      <c r="A3798" t="str">
        <f>"30210-21PX1"</f>
        <v>30210-21PX1</v>
      </c>
      <c r="B3798" t="str">
        <f>"Корзина сцеплени"</f>
        <v>Корзина сцеплени</v>
      </c>
      <c r="C3798">
        <v>1</v>
      </c>
      <c r="D3798">
        <v>5241.1680000000006</v>
      </c>
    </row>
    <row r="3799" spans="1:4">
      <c r="A3799" t="str">
        <f>"30210-2F216"</f>
        <v>30210-2F216</v>
      </c>
      <c r="B3799" t="str">
        <f>"COVER ASSY-CLUT"</f>
        <v>COVER ASSY-CLUT</v>
      </c>
      <c r="C3799">
        <v>0</v>
      </c>
      <c r="D3799">
        <v>3256.248</v>
      </c>
    </row>
    <row r="3800" spans="1:4">
      <c r="A3800" t="str">
        <f>"30210-2TB1A"</f>
        <v>30210-2TB1A</v>
      </c>
      <c r="B3800" t="str">
        <f>"Корзина сцеплени"</f>
        <v>Корзина сцеплени</v>
      </c>
      <c r="C3800">
        <v>6</v>
      </c>
      <c r="D3800">
        <v>6559.8240000000005</v>
      </c>
    </row>
    <row r="3801" spans="1:4">
      <c r="A3801" t="str">
        <f>"30210-2Y00A"</f>
        <v>30210-2Y00A</v>
      </c>
      <c r="B3801" t="str">
        <f>"Корзина сцеплени"</f>
        <v>Корзина сцеплени</v>
      </c>
      <c r="C3801">
        <v>5</v>
      </c>
      <c r="D3801">
        <v>4248.5039999999999</v>
      </c>
    </row>
    <row r="3802" spans="1:4">
      <c r="A3802" t="str">
        <f>"30210-2Y920"</f>
        <v>30210-2Y920</v>
      </c>
      <c r="B3802" t="str">
        <f>"COVER-CLUTCH"</f>
        <v>COVER-CLUTCH</v>
      </c>
      <c r="C3802">
        <v>1</v>
      </c>
      <c r="D3802">
        <v>4278.2879999999996</v>
      </c>
    </row>
    <row r="3803" spans="1:4">
      <c r="A3803" t="str">
        <f>"30210-31UX0"</f>
        <v>30210-31UX0</v>
      </c>
      <c r="B3803" t="str">
        <f>"Корзина сцеплени"</f>
        <v>Корзина сцеплени</v>
      </c>
      <c r="C3803">
        <v>3</v>
      </c>
      <c r="D3803">
        <v>3000.4320000000002</v>
      </c>
    </row>
    <row r="3804" spans="1:4">
      <c r="A3804" t="str">
        <f>"30210-31UX3"</f>
        <v>30210-31UX3</v>
      </c>
      <c r="B3804" t="str">
        <f>"Корзина сцеплени"</f>
        <v>Корзина сцеплени</v>
      </c>
      <c r="C3804">
        <v>1</v>
      </c>
      <c r="D3804">
        <v>3189.7439999999997</v>
      </c>
    </row>
    <row r="3805" spans="1:4">
      <c r="A3805" t="str">
        <f>"30210-40U06"</f>
        <v>30210-40U06</v>
      </c>
      <c r="B3805" t="str">
        <f>"COVER ASSY-CLUT"</f>
        <v>COVER ASSY-CLUT</v>
      </c>
      <c r="C3805">
        <v>4</v>
      </c>
      <c r="D3805">
        <v>3762.9839999999999</v>
      </c>
    </row>
    <row r="3806" spans="1:4">
      <c r="A3806" t="str">
        <f>"30210-53JX0"</f>
        <v>30210-53JX0</v>
      </c>
      <c r="B3806" t="str">
        <f>"Корзина сцеплени"</f>
        <v>Корзина сцеплени</v>
      </c>
      <c r="C3806">
        <v>1</v>
      </c>
      <c r="D3806">
        <v>2897.2080000000001</v>
      </c>
    </row>
    <row r="3807" spans="1:4">
      <c r="A3807" t="str">
        <f>"30210-53Y1A"</f>
        <v>30210-53Y1A</v>
      </c>
      <c r="B3807" t="str">
        <f>"Корзина сцеплени"</f>
        <v>Корзина сцеплени</v>
      </c>
      <c r="C3807">
        <v>2</v>
      </c>
      <c r="D3807">
        <v>2471.2559999999999</v>
      </c>
    </row>
    <row r="3808" spans="1:4">
      <c r="A3808" t="str">
        <f>"30210-57YX6"</f>
        <v>30210-57YX6</v>
      </c>
      <c r="B3808" t="str">
        <f>"Корзина сцеплени"</f>
        <v>Корзина сцеплени</v>
      </c>
      <c r="C3808">
        <v>1</v>
      </c>
      <c r="D3808">
        <v>2159.5439999999999</v>
      </c>
    </row>
    <row r="3809" spans="1:4">
      <c r="A3809" t="str">
        <f>"30210-8H305"</f>
        <v>30210-8H305</v>
      </c>
      <c r="B3809" t="str">
        <f>"COVER ASSY-CLUT"</f>
        <v>COVER ASSY-CLUT</v>
      </c>
      <c r="C3809">
        <v>16</v>
      </c>
      <c r="D3809">
        <v>3649.9679999999998</v>
      </c>
    </row>
    <row r="3810" spans="1:4">
      <c r="A3810" t="str">
        <f>"30210-8H801"</f>
        <v>30210-8H801</v>
      </c>
      <c r="B3810" t="str">
        <f>"COVER ASSY-CLUT"</f>
        <v>COVER ASSY-CLUT</v>
      </c>
      <c r="C3810">
        <v>4</v>
      </c>
      <c r="D3810">
        <v>6862.56</v>
      </c>
    </row>
    <row r="3811" spans="1:4">
      <c r="A3811" t="str">
        <f>"30210-8N700"</f>
        <v>30210-8N700</v>
      </c>
      <c r="B3811" t="str">
        <f>"Корзина сцеплени"</f>
        <v>Корзина сцеплени</v>
      </c>
      <c r="C3811">
        <v>2</v>
      </c>
      <c r="D3811">
        <v>2900.88</v>
      </c>
    </row>
    <row r="3812" spans="1:4">
      <c r="A3812" t="str">
        <f>"30210-95F0B"</f>
        <v>30210-95F0B</v>
      </c>
      <c r="B3812" t="str">
        <f>"Корзина сцеплени"</f>
        <v>Корзина сцеплени</v>
      </c>
      <c r="C3812">
        <v>5</v>
      </c>
      <c r="D3812">
        <v>2543.0639999999999</v>
      </c>
    </row>
    <row r="3813" spans="1:4">
      <c r="A3813" t="str">
        <f>"30210-9H205"</f>
        <v>30210-9H205</v>
      </c>
      <c r="B3813" t="str">
        <f>"COVER ASSY-CLUT"</f>
        <v>COVER ASSY-CLUT</v>
      </c>
      <c r="C3813">
        <v>6</v>
      </c>
      <c r="D3813">
        <v>3547.56</v>
      </c>
    </row>
    <row r="3814" spans="1:4">
      <c r="A3814" t="str">
        <f>"30210-AU010"</f>
        <v>30210-AU010</v>
      </c>
      <c r="B3814" t="str">
        <f>"COVER ASSY-CLUT"</f>
        <v>COVER ASSY-CLUT</v>
      </c>
      <c r="C3814">
        <v>4</v>
      </c>
      <c r="D3814">
        <v>2847.4320000000002</v>
      </c>
    </row>
    <row r="3815" spans="1:4">
      <c r="A3815" t="str">
        <f>"30210-AU400"</f>
        <v>30210-AU400</v>
      </c>
      <c r="B3815" t="str">
        <f>"COVER ASSY-CLUT"</f>
        <v>COVER ASSY-CLUT</v>
      </c>
      <c r="C3815">
        <v>5</v>
      </c>
      <c r="D3815">
        <v>4346.8320000000003</v>
      </c>
    </row>
    <row r="3816" spans="1:4">
      <c r="A3816" t="str">
        <f>"30210-AU600"</f>
        <v>30210-AU600</v>
      </c>
      <c r="B3816" t="str">
        <f>"Корзина сцеплени"</f>
        <v>Корзина сцеплени</v>
      </c>
      <c r="C3816">
        <v>1</v>
      </c>
      <c r="D3816">
        <v>4423.5360000000001</v>
      </c>
    </row>
    <row r="3817" spans="1:4">
      <c r="A3817" t="str">
        <f>"30210-BM400"</f>
        <v>30210-BM400</v>
      </c>
      <c r="B3817" t="str">
        <f>"COVER ASSY-CLUT"</f>
        <v>COVER ASSY-CLUT</v>
      </c>
      <c r="C3817">
        <v>0</v>
      </c>
      <c r="D3817">
        <v>2827.4399999999996</v>
      </c>
    </row>
    <row r="3818" spans="1:4">
      <c r="A3818" t="str">
        <f>"30210-BM410"</f>
        <v>30210-BM410</v>
      </c>
      <c r="B3818" t="str">
        <f>"COVER ASSY-CLUT"</f>
        <v>COVER ASSY-CLUT</v>
      </c>
      <c r="C3818">
        <v>4</v>
      </c>
      <c r="D3818">
        <v>2796.4320000000002</v>
      </c>
    </row>
    <row r="3819" spans="1:4">
      <c r="A3819" t="str">
        <f>"30210-BU010"</f>
        <v>30210-BU010</v>
      </c>
      <c r="B3819" t="str">
        <f>"COVER ASSY-CLUT"</f>
        <v>COVER ASSY-CLUT</v>
      </c>
      <c r="C3819">
        <v>8</v>
      </c>
      <c r="D3819">
        <v>2946.9839999999999</v>
      </c>
    </row>
    <row r="3820" spans="1:4">
      <c r="A3820" t="str">
        <f>"30210-D02X8"</f>
        <v>30210-D02X8</v>
      </c>
      <c r="B3820" t="str">
        <f t="shared" ref="B3820:B3826" si="79">"Корзина сцеплени"</f>
        <v>Корзина сцеплени</v>
      </c>
      <c r="C3820">
        <v>9</v>
      </c>
      <c r="D3820">
        <v>2143.6319999999996</v>
      </c>
    </row>
    <row r="3821" spans="1:4">
      <c r="A3821" t="str">
        <f>"30210-ED80A"</f>
        <v>30210-ED80A</v>
      </c>
      <c r="B3821" t="str">
        <f t="shared" si="79"/>
        <v>Корзина сцеплени</v>
      </c>
      <c r="C3821">
        <v>9</v>
      </c>
      <c r="D3821">
        <v>4094.6879999999996</v>
      </c>
    </row>
    <row r="3822" spans="1:4">
      <c r="A3822" t="str">
        <f>"30210-EQ010"</f>
        <v>30210-EQ010</v>
      </c>
      <c r="B3822" t="str">
        <f t="shared" si="79"/>
        <v>Корзина сцеплени</v>
      </c>
      <c r="C3822">
        <v>4</v>
      </c>
      <c r="D3822">
        <v>6703.44</v>
      </c>
    </row>
    <row r="3823" spans="1:4">
      <c r="A3823" t="str">
        <f>"30210-JA00A"</f>
        <v>30210-JA00A</v>
      </c>
      <c r="B3823" t="str">
        <f t="shared" si="79"/>
        <v>Корзина сцеплени</v>
      </c>
      <c r="C3823">
        <v>9</v>
      </c>
      <c r="D3823">
        <v>3008.5919999999996</v>
      </c>
    </row>
    <row r="3824" spans="1:4">
      <c r="A3824" t="str">
        <f>"30210-JD00A"</f>
        <v>30210-JD00A</v>
      </c>
      <c r="B3824" t="str">
        <f t="shared" si="79"/>
        <v>Корзина сцеплени</v>
      </c>
      <c r="C3824">
        <v>16</v>
      </c>
      <c r="D3824">
        <v>5396.616</v>
      </c>
    </row>
    <row r="3825" spans="1:4">
      <c r="A3825" t="str">
        <f>"30210-JS10C"</f>
        <v>30210-JS10C</v>
      </c>
      <c r="B3825" t="str">
        <f t="shared" si="79"/>
        <v>Корзина сцеплени</v>
      </c>
      <c r="C3825">
        <v>5</v>
      </c>
      <c r="D3825">
        <v>7036.3680000000004</v>
      </c>
    </row>
    <row r="3826" spans="1:4">
      <c r="A3826" t="str">
        <f>"30210-JX00C"</f>
        <v>30210-JX00C</v>
      </c>
      <c r="B3826" t="str">
        <f t="shared" si="79"/>
        <v>Корзина сцеплени</v>
      </c>
      <c r="C3826">
        <v>6</v>
      </c>
      <c r="D3826">
        <v>4213.0079999999998</v>
      </c>
    </row>
    <row r="3827" spans="1:4">
      <c r="A3827" t="str">
        <f>"30210-VB002"</f>
        <v>30210-VB002</v>
      </c>
      <c r="B3827" t="str">
        <f>"COVER ASSY-CLUT"</f>
        <v>COVER ASSY-CLUT</v>
      </c>
      <c r="C3827">
        <v>2</v>
      </c>
      <c r="D3827">
        <v>5668.3440000000001</v>
      </c>
    </row>
    <row r="3828" spans="1:4">
      <c r="A3828" t="str">
        <f>"30210-VB3X0"</f>
        <v>30210-VB3X0</v>
      </c>
      <c r="B3828" t="str">
        <f>"Корзина сцеплени"</f>
        <v>Корзина сцеплени</v>
      </c>
      <c r="C3828">
        <v>9</v>
      </c>
      <c r="D3828">
        <v>5870.7120000000004</v>
      </c>
    </row>
    <row r="3829" spans="1:4">
      <c r="A3829" t="str">
        <f>"30210-VD200"</f>
        <v>30210-VD200</v>
      </c>
      <c r="B3829" t="str">
        <f>"COVER ASSY-CLUT"</f>
        <v>COVER ASSY-CLUT</v>
      </c>
      <c r="C3829">
        <v>8</v>
      </c>
      <c r="D3829">
        <v>6905.808</v>
      </c>
    </row>
    <row r="3830" spans="1:4">
      <c r="A3830" t="str">
        <f>"30300-CR12B"</f>
        <v>30300-CR12B</v>
      </c>
      <c r="B3830" t="str">
        <f>"CLUTCH COVER &amp;"</f>
        <v>CLUTCH COVER &amp;</v>
      </c>
      <c r="C3830">
        <v>5</v>
      </c>
      <c r="D3830">
        <v>5080.0079999999998</v>
      </c>
    </row>
    <row r="3831" spans="1:4">
      <c r="A3831" t="str">
        <f>"30300-CR14B"</f>
        <v>30300-CR14B</v>
      </c>
      <c r="B3831" t="str">
        <f>"CLUTCH COVER &amp;"</f>
        <v>CLUTCH COVER &amp;</v>
      </c>
      <c r="C3831">
        <v>0</v>
      </c>
      <c r="D3831">
        <v>5219.1359999999995</v>
      </c>
    </row>
    <row r="3832" spans="1:4">
      <c r="A3832" t="str">
        <f>"30501-01J60"</f>
        <v>30501-01J60</v>
      </c>
      <c r="B3832" t="str">
        <f>"SLEEVE-CLUTCH"</f>
        <v>SLEEVE-CLUTCH</v>
      </c>
      <c r="C3832">
        <v>2</v>
      </c>
      <c r="D3832">
        <v>516.52800000000002</v>
      </c>
    </row>
    <row r="3833" spans="1:4">
      <c r="A3833" t="str">
        <f>"30501-22104"</f>
        <v>30501-22104</v>
      </c>
      <c r="B3833" t="str">
        <f>"Муфта выжимного подш"</f>
        <v>Муфта выжимного подш</v>
      </c>
      <c r="C3833">
        <v>1</v>
      </c>
      <c r="D3833">
        <v>639.74400000000003</v>
      </c>
    </row>
    <row r="3834" spans="1:4">
      <c r="A3834" t="str">
        <f>"30501-B6064"</f>
        <v>30501-B6064</v>
      </c>
      <c r="B3834" t="str">
        <f>"SLEEVE-CLUTCH"</f>
        <v>SLEEVE-CLUTCH</v>
      </c>
      <c r="C3834">
        <v>8</v>
      </c>
      <c r="D3834">
        <v>684.21599999999989</v>
      </c>
    </row>
    <row r="3835" spans="1:4">
      <c r="A3835" t="str">
        <f>"30501-S0284"</f>
        <v>30501-S0284</v>
      </c>
      <c r="B3835" t="str">
        <f>"SLEEVE-CLUTCH"</f>
        <v>SLEEVE-CLUTCH</v>
      </c>
      <c r="C3835">
        <v>3</v>
      </c>
      <c r="D3835">
        <v>821.71199999999999</v>
      </c>
    </row>
    <row r="3836" spans="1:4">
      <c r="A3836" t="str">
        <f>"30501-VB000"</f>
        <v>30501-VB000</v>
      </c>
      <c r="B3836" t="str">
        <f>"SLEEVE-CLUTCH"</f>
        <v>SLEEVE-CLUTCH</v>
      </c>
      <c r="C3836">
        <v>1</v>
      </c>
      <c r="D3836">
        <v>687.88800000000003</v>
      </c>
    </row>
    <row r="3837" spans="1:4">
      <c r="A3837" t="str">
        <f>"30502-0F500"</f>
        <v>30502-0F500</v>
      </c>
      <c r="B3837" t="str">
        <f>"BEARING-CLUTCH"</f>
        <v>BEARING-CLUTCH</v>
      </c>
      <c r="C3837">
        <v>6</v>
      </c>
      <c r="D3837">
        <v>1491.24</v>
      </c>
    </row>
    <row r="3838" spans="1:4">
      <c r="A3838" t="str">
        <f>"30502-1W716"</f>
        <v>30502-1W716</v>
      </c>
      <c r="B3838" t="str">
        <f t="shared" ref="B3838:B3850" si="80">"BRG C/RELEASE"</f>
        <v>BRG C/RELEASE</v>
      </c>
      <c r="C3838">
        <v>33</v>
      </c>
      <c r="D3838">
        <v>994.29600000000005</v>
      </c>
    </row>
    <row r="3839" spans="1:4">
      <c r="A3839" t="str">
        <f>"30502-1W718"</f>
        <v>30502-1W718</v>
      </c>
      <c r="B3839" t="str">
        <f t="shared" si="80"/>
        <v>BRG C/RELEASE</v>
      </c>
      <c r="C3839">
        <v>7</v>
      </c>
      <c r="D3839">
        <v>1090.992</v>
      </c>
    </row>
    <row r="3840" spans="1:4">
      <c r="A3840" t="str">
        <f>"30502-1W720"</f>
        <v>30502-1W720</v>
      </c>
      <c r="B3840" t="str">
        <f t="shared" si="80"/>
        <v>BRG C/RELEASE</v>
      </c>
      <c r="C3840">
        <v>14</v>
      </c>
      <c r="D3840">
        <v>1135.056</v>
      </c>
    </row>
    <row r="3841" spans="1:4">
      <c r="A3841" t="str">
        <f>"30502-1W724"</f>
        <v>30502-1W724</v>
      </c>
      <c r="B3841" t="str">
        <f t="shared" si="80"/>
        <v>BRG C/RELEASE</v>
      </c>
      <c r="C3841">
        <v>5</v>
      </c>
      <c r="D3841">
        <v>1266.4319999999998</v>
      </c>
    </row>
    <row r="3842" spans="1:4">
      <c r="A3842" t="str">
        <f>"30502-21000"</f>
        <v>30502-21000</v>
      </c>
      <c r="B3842" t="str">
        <f t="shared" si="80"/>
        <v>BRG C/RELEASE</v>
      </c>
      <c r="C3842">
        <v>2</v>
      </c>
      <c r="D3842">
        <v>660.14400000000001</v>
      </c>
    </row>
    <row r="3843" spans="1:4">
      <c r="A3843" t="str">
        <f>"30502-41U20"</f>
        <v>30502-41U20</v>
      </c>
      <c r="B3843" t="str">
        <f t="shared" si="80"/>
        <v>BRG C/RELEASE</v>
      </c>
      <c r="C3843">
        <v>16</v>
      </c>
      <c r="D3843">
        <v>1132.6079999999999</v>
      </c>
    </row>
    <row r="3844" spans="1:4">
      <c r="A3844" t="str">
        <f>"30502-41U24"</f>
        <v>30502-41U24</v>
      </c>
      <c r="B3844" t="str">
        <f t="shared" si="80"/>
        <v>BRG C/RELEASE</v>
      </c>
      <c r="C3844">
        <v>21</v>
      </c>
      <c r="D3844">
        <v>1237.056</v>
      </c>
    </row>
    <row r="3845" spans="1:4">
      <c r="A3845" t="str">
        <f>"30502-45P00"</f>
        <v>30502-45P00</v>
      </c>
      <c r="B3845" t="str">
        <f t="shared" si="80"/>
        <v>BRG C/RELEASE</v>
      </c>
      <c r="C3845">
        <v>17</v>
      </c>
      <c r="D3845">
        <v>780.096</v>
      </c>
    </row>
    <row r="3846" spans="1:4">
      <c r="A3846" t="str">
        <f>"30502-53J05"</f>
        <v>30502-53J05</v>
      </c>
      <c r="B3846" t="str">
        <f t="shared" si="80"/>
        <v>BRG C/RELEASE</v>
      </c>
      <c r="C3846">
        <v>0</v>
      </c>
      <c r="D3846">
        <v>906.57600000000002</v>
      </c>
    </row>
    <row r="3847" spans="1:4">
      <c r="A3847" t="str">
        <f>"30502-53J61"</f>
        <v>30502-53J61</v>
      </c>
      <c r="B3847" t="str">
        <f t="shared" si="80"/>
        <v>BRG C/RELEASE</v>
      </c>
      <c r="C3847">
        <v>36</v>
      </c>
      <c r="D3847">
        <v>1010.208</v>
      </c>
    </row>
    <row r="3848" spans="1:4">
      <c r="A3848" t="str">
        <f>"30502-5E122"</f>
        <v>30502-5E122</v>
      </c>
      <c r="B3848" t="str">
        <f t="shared" si="80"/>
        <v>BRG C/RELEASE</v>
      </c>
      <c r="C3848">
        <v>2</v>
      </c>
      <c r="D3848">
        <v>938.4</v>
      </c>
    </row>
    <row r="3849" spans="1:4">
      <c r="A3849" t="str">
        <f>"30502-69F10"</f>
        <v>30502-69F10</v>
      </c>
      <c r="B3849" t="str">
        <f t="shared" si="80"/>
        <v>BRG C/RELEASE</v>
      </c>
      <c r="C3849">
        <v>66</v>
      </c>
      <c r="D3849">
        <v>956.75999999999988</v>
      </c>
    </row>
    <row r="3850" spans="1:4">
      <c r="A3850" t="str">
        <f>"30502-81N05"</f>
        <v>30502-81N05</v>
      </c>
      <c r="B3850" t="str">
        <f t="shared" si="80"/>
        <v>BRG C/RELEASE</v>
      </c>
      <c r="C3850">
        <v>71</v>
      </c>
      <c r="D3850">
        <v>904.53599999999994</v>
      </c>
    </row>
    <row r="3851" spans="1:4">
      <c r="A3851" t="str">
        <f>"30502-9C000"</f>
        <v>30502-9C000</v>
      </c>
      <c r="B3851" t="str">
        <f>"THRUST BEARING"</f>
        <v>THRUST BEARING</v>
      </c>
      <c r="C3851">
        <v>4</v>
      </c>
      <c r="D3851">
        <v>1390.8719999999998</v>
      </c>
    </row>
    <row r="3852" spans="1:4">
      <c r="A3852" t="str">
        <f>"30502-V6200"</f>
        <v>30502-V6200</v>
      </c>
      <c r="B3852" t="str">
        <f>"BRG C/RELEASE"</f>
        <v>BRG C/RELEASE</v>
      </c>
      <c r="C3852">
        <v>11</v>
      </c>
      <c r="D3852">
        <v>580.17600000000004</v>
      </c>
    </row>
    <row r="3853" spans="1:4">
      <c r="A3853" t="str">
        <f>"30506-M8002"</f>
        <v>30506-M8002</v>
      </c>
      <c r="B3853" t="str">
        <f>"SPRING HOLDER"</f>
        <v>SPRING HOLDER</v>
      </c>
      <c r="C3853">
        <v>75</v>
      </c>
      <c r="D3853">
        <v>113.01600000000001</v>
      </c>
    </row>
    <row r="3854" spans="1:4">
      <c r="A3854" t="str">
        <f>"30507-M8001"</f>
        <v>30507-M8001</v>
      </c>
      <c r="B3854" t="str">
        <f>"SEAL-DUST"</f>
        <v>SEAL-DUST</v>
      </c>
      <c r="C3854">
        <v>8</v>
      </c>
      <c r="D3854">
        <v>104.04</v>
      </c>
    </row>
    <row r="3855" spans="1:4">
      <c r="A3855" t="str">
        <f>"30514-03E10"</f>
        <v>30514-03E10</v>
      </c>
      <c r="B3855" t="str">
        <f>"SPRING HOLDER"</f>
        <v>SPRING HOLDER</v>
      </c>
      <c r="C3855">
        <v>0</v>
      </c>
      <c r="D3855">
        <v>46.103999999999999</v>
      </c>
    </row>
    <row r="3856" spans="1:4">
      <c r="A3856" t="str">
        <f>"30514-03E11"</f>
        <v>30514-03E11</v>
      </c>
      <c r="B3856" t="str">
        <f>"SPRING-HOLDER"</f>
        <v>SPRING-HOLDER</v>
      </c>
      <c r="C3856">
        <v>13</v>
      </c>
      <c r="D3856">
        <v>45.695999999999998</v>
      </c>
    </row>
    <row r="3857" spans="1:4">
      <c r="A3857" t="str">
        <f>"30514-14600"</f>
        <v>30514-14600</v>
      </c>
      <c r="B3857" t="str">
        <f>"SPRING HOLDER"</f>
        <v>SPRING HOLDER</v>
      </c>
      <c r="C3857">
        <v>8</v>
      </c>
      <c r="D3857">
        <v>77.927999999999997</v>
      </c>
    </row>
    <row r="3858" spans="1:4">
      <c r="A3858" t="str">
        <f>"30521-M8001"</f>
        <v>30521-M8001</v>
      </c>
      <c r="B3858" t="str">
        <f>"BUSH-CLUTCH CON"</f>
        <v>BUSH-CLUTCH CON</v>
      </c>
      <c r="C3858">
        <v>19</v>
      </c>
      <c r="D3858">
        <v>89.35199999999999</v>
      </c>
    </row>
    <row r="3859" spans="1:4">
      <c r="A3859" t="str">
        <f>"30531-01S00"</f>
        <v>30531-01S00</v>
      </c>
      <c r="B3859" t="str">
        <f>"A LEVER W/D"</f>
        <v>A LEVER W/D</v>
      </c>
      <c r="C3859">
        <v>3</v>
      </c>
      <c r="D3859">
        <v>1249.2959999999998</v>
      </c>
    </row>
    <row r="3860" spans="1:4">
      <c r="A3860" t="str">
        <f>"30531-0W800"</f>
        <v>30531-0W800</v>
      </c>
      <c r="B3860" t="str">
        <f>"A LEVER W/D"</f>
        <v>A LEVER W/D</v>
      </c>
      <c r="C3860">
        <v>3</v>
      </c>
      <c r="D3860">
        <v>1304.7839999999999</v>
      </c>
    </row>
    <row r="3861" spans="1:4">
      <c r="A3861" t="str">
        <f>"30531-7F000"</f>
        <v>30531-7F000</v>
      </c>
      <c r="B3861" t="str">
        <f>"LEVER-WITHDRAWA"</f>
        <v>LEVER-WITHDRAWA</v>
      </c>
      <c r="C3861">
        <v>7</v>
      </c>
      <c r="D3861">
        <v>1479</v>
      </c>
    </row>
    <row r="3862" spans="1:4">
      <c r="A3862" t="str">
        <f>"30531-9E000"</f>
        <v>30531-9E000</v>
      </c>
      <c r="B3862" t="str">
        <f>"Вилка КПП"</f>
        <v>Вилка КПП</v>
      </c>
      <c r="C3862">
        <v>0</v>
      </c>
      <c r="D3862">
        <v>1321.5119999999999</v>
      </c>
    </row>
    <row r="3863" spans="1:4">
      <c r="A3863" t="str">
        <f>"30531-P0151"</f>
        <v>30531-P0151</v>
      </c>
      <c r="B3863" t="str">
        <f>"Вилка КПП"</f>
        <v>Вилка КПП</v>
      </c>
      <c r="C3863">
        <v>0</v>
      </c>
      <c r="D3863">
        <v>689.52</v>
      </c>
    </row>
    <row r="3864" spans="1:4">
      <c r="A3864" t="str">
        <f>"30534-03E00"</f>
        <v>30534-03E00</v>
      </c>
      <c r="B3864" t="str">
        <f>"SPRING-RETAINER"</f>
        <v>SPRING-RETAINER</v>
      </c>
      <c r="C3864">
        <v>2</v>
      </c>
      <c r="D3864">
        <v>46.92</v>
      </c>
    </row>
    <row r="3865" spans="1:4">
      <c r="A3865" t="str">
        <f>"30534-E9000"</f>
        <v>30534-E9000</v>
      </c>
      <c r="B3865" t="str">
        <f>"SPRING-RETAINER"</f>
        <v>SPRING-RETAINER</v>
      </c>
      <c r="C3865">
        <v>7</v>
      </c>
      <c r="D3865">
        <v>49.775999999999996</v>
      </c>
    </row>
    <row r="3866" spans="1:4">
      <c r="A3866" t="str">
        <f>"30537-40P00"</f>
        <v>30537-40P00</v>
      </c>
      <c r="B3866" t="str">
        <f>"PIN-BALL"</f>
        <v>PIN-BALL</v>
      </c>
      <c r="C3866">
        <v>4</v>
      </c>
      <c r="D3866">
        <v>122.80799999999999</v>
      </c>
    </row>
    <row r="3867" spans="1:4">
      <c r="A3867" t="str">
        <f>"30537-40P01"</f>
        <v>30537-40P01</v>
      </c>
      <c r="B3867" t="str">
        <f>"PIN-BALL"</f>
        <v>PIN-BALL</v>
      </c>
      <c r="C3867">
        <v>2</v>
      </c>
      <c r="D3867">
        <v>125.25599999999999</v>
      </c>
    </row>
    <row r="3868" spans="1:4">
      <c r="A3868" t="str">
        <f>"30537-M8005"</f>
        <v>30537-M8005</v>
      </c>
      <c r="B3868" t="str">
        <f>"LEVER ASSY-CLUT"</f>
        <v>LEVER ASSY-CLUT</v>
      </c>
      <c r="C3868">
        <v>34</v>
      </c>
      <c r="D3868">
        <v>1116.288</v>
      </c>
    </row>
    <row r="3869" spans="1:4">
      <c r="A3869" t="str">
        <f>"30542-01S00"</f>
        <v>30542-01S00</v>
      </c>
      <c r="B3869" t="str">
        <f>"COVER-DUST WITH"</f>
        <v>COVER-DUST WITH</v>
      </c>
      <c r="C3869">
        <v>6</v>
      </c>
      <c r="D3869">
        <v>252.55199999999999</v>
      </c>
    </row>
    <row r="3870" spans="1:4">
      <c r="A3870" t="str">
        <f>"30542-31G10"</f>
        <v>30542-31G10</v>
      </c>
      <c r="B3870" t="str">
        <f>"COVER-DUST"</f>
        <v>COVER-DUST</v>
      </c>
      <c r="C3870">
        <v>10</v>
      </c>
      <c r="D3870">
        <v>378.62399999999997</v>
      </c>
    </row>
    <row r="3871" spans="1:4">
      <c r="A3871" t="str">
        <f>"30542-75P00"</f>
        <v>30542-75P00</v>
      </c>
      <c r="B3871" t="str">
        <f>"COVER-DUST"</f>
        <v>COVER-DUST</v>
      </c>
      <c r="C3871">
        <v>5</v>
      </c>
      <c r="D3871">
        <v>368.01600000000002</v>
      </c>
    </row>
    <row r="3872" spans="1:4">
      <c r="A3872" t="str">
        <f>"30570-00Q0L"</f>
        <v>30570-00Q0L</v>
      </c>
      <c r="B3872" t="str">
        <f>"Электропривод сцепле"</f>
        <v>Электропривод сцепле</v>
      </c>
      <c r="C3872">
        <v>0</v>
      </c>
      <c r="D3872">
        <v>1844.568</v>
      </c>
    </row>
    <row r="3873" spans="1:4">
      <c r="A3873" t="str">
        <f>"30610-1KM0A"</f>
        <v>30610-1KM0A</v>
      </c>
      <c r="B3873" t="str">
        <f>"Цилиндр сцеплени"</f>
        <v>Цилиндр сцеплени</v>
      </c>
      <c r="C3873">
        <v>1</v>
      </c>
      <c r="D3873">
        <v>1667.4959999999999</v>
      </c>
    </row>
    <row r="3874" spans="1:4">
      <c r="A3874" t="str">
        <f>"30610-2C117"</f>
        <v>30610-2C117</v>
      </c>
      <c r="B3874" t="str">
        <f>"Циллиндр сцеплен"</f>
        <v>Циллиндр сцеплен</v>
      </c>
      <c r="C3874">
        <v>3</v>
      </c>
      <c r="D3874">
        <v>2404.3439999999996</v>
      </c>
    </row>
    <row r="3875" spans="1:4">
      <c r="A3875" t="str">
        <f>"30610-31U0A"</f>
        <v>30610-31U0A</v>
      </c>
      <c r="B3875" t="str">
        <f>"Циллиндр сцеплен"</f>
        <v>Циллиндр сцеплен</v>
      </c>
      <c r="C3875">
        <v>1</v>
      </c>
      <c r="D3875">
        <v>1935.1439999999998</v>
      </c>
    </row>
    <row r="3876" spans="1:4">
      <c r="A3876" t="str">
        <f>"30610-37J21"</f>
        <v>30610-37J21</v>
      </c>
      <c r="B3876" t="str">
        <f>"CYLINDER ASSY-C"</f>
        <v>CYLINDER ASSY-C</v>
      </c>
      <c r="C3876">
        <v>5</v>
      </c>
      <c r="D3876">
        <v>2125.2719999999999</v>
      </c>
    </row>
    <row r="3877" spans="1:4">
      <c r="A3877" t="str">
        <f>"30610-55S0A"</f>
        <v>30610-55S0A</v>
      </c>
      <c r="B3877" t="str">
        <f>"Циллиндр сцеплен"</f>
        <v>Циллиндр сцеплен</v>
      </c>
      <c r="C3877">
        <v>0</v>
      </c>
      <c r="D3877">
        <v>2157.096</v>
      </c>
    </row>
    <row r="3878" spans="1:4">
      <c r="A3878" t="str">
        <f>"30610-59G11"</f>
        <v>30610-59G11</v>
      </c>
      <c r="B3878" t="str">
        <f>"CYLINDER ASSY-C"</f>
        <v>CYLINDER ASSY-C</v>
      </c>
      <c r="C3878">
        <v>2</v>
      </c>
      <c r="D3878">
        <v>2463.9120000000003</v>
      </c>
    </row>
    <row r="3879" spans="1:4">
      <c r="A3879" t="str">
        <f>"30610-5M00A"</f>
        <v>30610-5M00A</v>
      </c>
      <c r="B3879" t="str">
        <f>"Циллиндр сцеплен"</f>
        <v>Циллиндр сцеплен</v>
      </c>
      <c r="C3879">
        <v>15</v>
      </c>
      <c r="D3879">
        <v>1988.5920000000001</v>
      </c>
    </row>
    <row r="3880" spans="1:4">
      <c r="A3880" t="str">
        <f>"30610-7F00A"</f>
        <v>30610-7F00A</v>
      </c>
      <c r="B3880" t="str">
        <f>"Циллиндр сцеплен"</f>
        <v>Циллиндр сцеплен</v>
      </c>
      <c r="C3880">
        <v>4</v>
      </c>
      <c r="D3880">
        <v>2411.6880000000001</v>
      </c>
    </row>
    <row r="3881" spans="1:4">
      <c r="A3881" t="str">
        <f>"30610-95F0A"</f>
        <v>30610-95F0A</v>
      </c>
      <c r="B3881" t="str">
        <f>"Циллиндр сцеплен"</f>
        <v>Циллиндр сцеплен</v>
      </c>
      <c r="C3881">
        <v>80</v>
      </c>
      <c r="D3881">
        <v>1946.1599999999999</v>
      </c>
    </row>
    <row r="3882" spans="1:4">
      <c r="A3882" t="str">
        <f>"30610-EA00A"</f>
        <v>30610-EA00A</v>
      </c>
      <c r="B3882" t="str">
        <f>"Циллиндр сцеплен"</f>
        <v>Циллиндр сцеплен</v>
      </c>
      <c r="C3882">
        <v>0</v>
      </c>
      <c r="D3882">
        <v>1822.5359999999998</v>
      </c>
    </row>
    <row r="3883" spans="1:4">
      <c r="A3883" t="str">
        <f>"30610-ET000"</f>
        <v>30610-ET000</v>
      </c>
      <c r="B3883" t="str">
        <f>"Цилиндр сцеплени"</f>
        <v>Цилиндр сцеплени</v>
      </c>
      <c r="C3883">
        <v>0</v>
      </c>
      <c r="D3883">
        <v>3042.4560000000001</v>
      </c>
    </row>
    <row r="3884" spans="1:4">
      <c r="A3884" t="str">
        <f>"30610-VB00A"</f>
        <v>30610-VB00A</v>
      </c>
      <c r="B3884" t="str">
        <f>"Циллиндр сцеплен"</f>
        <v>Циллиндр сцеплен</v>
      </c>
      <c r="C3884">
        <v>3</v>
      </c>
      <c r="D3884">
        <v>2207.6880000000001</v>
      </c>
    </row>
    <row r="3885" spans="1:4">
      <c r="A3885" t="str">
        <f>"30611-10V27"</f>
        <v>30611-10V27</v>
      </c>
      <c r="B3885" t="str">
        <f>"Поршень циллиндра сц"</f>
        <v>Поршень циллиндра сц</v>
      </c>
      <c r="C3885">
        <v>27</v>
      </c>
      <c r="D3885">
        <v>622.60800000000006</v>
      </c>
    </row>
    <row r="3886" spans="1:4">
      <c r="A3886" t="str">
        <f>"30611-AA025"</f>
        <v>30611-AA025</v>
      </c>
      <c r="B3886" t="str">
        <f>"PISTON KIT-C/L"</f>
        <v>PISTON KIT-C/L</v>
      </c>
      <c r="C3886">
        <v>5</v>
      </c>
      <c r="D3886">
        <v>610.77599999999995</v>
      </c>
    </row>
    <row r="3887" spans="1:4">
      <c r="A3887" t="str">
        <f>"30620-00Q0H"</f>
        <v>30620-00Q0H</v>
      </c>
      <c r="B3887" t="str">
        <f>"Циллиндр сцеплен"</f>
        <v>Циллиндр сцеплен</v>
      </c>
      <c r="C3887">
        <v>0</v>
      </c>
      <c r="D3887">
        <v>2108.5439999999999</v>
      </c>
    </row>
    <row r="3888" spans="1:4">
      <c r="A3888" t="str">
        <f>"30620-00Q0J"</f>
        <v>30620-00Q0J</v>
      </c>
      <c r="B3888" t="str">
        <f>"Циллиндр сцеплен"</f>
        <v>Циллиндр сцеплен</v>
      </c>
      <c r="C3888">
        <v>22</v>
      </c>
      <c r="D3888">
        <v>2101.1999999999998</v>
      </c>
    </row>
    <row r="3889" spans="1:4">
      <c r="A3889" t="str">
        <f>"30620-2J00A"</f>
        <v>30620-2J00A</v>
      </c>
      <c r="B3889" t="str">
        <f>"Циллиндр сцеплен"</f>
        <v>Циллиндр сцеплен</v>
      </c>
      <c r="C3889">
        <v>9</v>
      </c>
      <c r="D3889">
        <v>1492.8719999999998</v>
      </c>
    </row>
    <row r="3890" spans="1:4">
      <c r="A3890" t="str">
        <f>"30620-31U0A"</f>
        <v>30620-31U0A</v>
      </c>
      <c r="B3890" t="str">
        <f>"Циллиндр сцеплен"</f>
        <v>Циллиндр сцеплен</v>
      </c>
      <c r="C3890">
        <v>7</v>
      </c>
      <c r="D3890">
        <v>1403.1119999999999</v>
      </c>
    </row>
    <row r="3891" spans="1:4">
      <c r="A3891" t="str">
        <f>"30620-31U0B"</f>
        <v>30620-31U0B</v>
      </c>
      <c r="B3891" t="str">
        <f>"Циллиндр сцеплен"</f>
        <v>Циллиндр сцеплен</v>
      </c>
      <c r="C3891">
        <v>13</v>
      </c>
      <c r="D3891">
        <v>1441.8719999999998</v>
      </c>
    </row>
    <row r="3892" spans="1:4">
      <c r="A3892" t="str">
        <f>"30620-34J20"</f>
        <v>30620-34J20</v>
      </c>
      <c r="B3892" t="str">
        <f>"CYLINDER-ASSY"</f>
        <v>CYLINDER-ASSY</v>
      </c>
      <c r="C3892">
        <v>1</v>
      </c>
      <c r="D3892">
        <v>1475.7359999999999</v>
      </c>
    </row>
    <row r="3893" spans="1:4">
      <c r="A3893" t="str">
        <f>"30620-48P0A"</f>
        <v>30620-48P0A</v>
      </c>
      <c r="B3893" t="str">
        <f>"Циллиндр сцеплен"</f>
        <v>Циллиндр сцеплен</v>
      </c>
      <c r="C3893">
        <v>5</v>
      </c>
      <c r="D3893">
        <v>1394.952</v>
      </c>
    </row>
    <row r="3894" spans="1:4">
      <c r="A3894" t="str">
        <f>"30620-69F70"</f>
        <v>30620-69F70</v>
      </c>
      <c r="B3894" t="str">
        <f>"CYLINDER-ASSY"</f>
        <v>CYLINDER-ASSY</v>
      </c>
      <c r="C3894">
        <v>30</v>
      </c>
      <c r="D3894">
        <v>1345.992</v>
      </c>
    </row>
    <row r="3895" spans="1:4">
      <c r="A3895" t="str">
        <f>"30620-95F0A"</f>
        <v>30620-95F0A</v>
      </c>
      <c r="B3895" t="str">
        <f>"Циллиндр сцеплен"</f>
        <v>Циллиндр сцеплен</v>
      </c>
      <c r="C3895">
        <v>13</v>
      </c>
      <c r="D3895">
        <v>1278.6719999999998</v>
      </c>
    </row>
    <row r="3896" spans="1:4">
      <c r="A3896" t="str">
        <f>"30620-EA00A"</f>
        <v>30620-EA00A</v>
      </c>
      <c r="B3896" t="str">
        <f>"Циллиндр сцеплен"</f>
        <v>Циллиндр сцеплен</v>
      </c>
      <c r="C3896">
        <v>1</v>
      </c>
      <c r="D3896">
        <v>1438.6079999999999</v>
      </c>
    </row>
    <row r="3897" spans="1:4">
      <c r="A3897" t="str">
        <f>"30620-V630A"</f>
        <v>30620-V630A</v>
      </c>
      <c r="B3897" t="str">
        <f>"Циллиндр сцеплен"</f>
        <v>Циллиндр сцеплен</v>
      </c>
      <c r="C3897">
        <v>4</v>
      </c>
      <c r="D3897">
        <v>1455.7439999999999</v>
      </c>
    </row>
    <row r="3898" spans="1:4">
      <c r="A3898" t="str">
        <f>"30620-V630B"</f>
        <v>30620-V630B</v>
      </c>
      <c r="B3898" t="str">
        <f>"Циллиндр сцеплен"</f>
        <v>Циллиндр сцеплен</v>
      </c>
      <c r="C3898">
        <v>4</v>
      </c>
      <c r="D3898">
        <v>1403.5199999999998</v>
      </c>
    </row>
    <row r="3899" spans="1:4">
      <c r="A3899" t="str">
        <f>"30620-VB370"</f>
        <v>30620-VB370</v>
      </c>
      <c r="B3899" t="str">
        <f>"CYLINDER ASSY-C"</f>
        <v>CYLINDER ASSY-C</v>
      </c>
      <c r="C3899">
        <v>3</v>
      </c>
      <c r="D3899">
        <v>1602.624</v>
      </c>
    </row>
    <row r="3900" spans="1:4">
      <c r="A3900" t="str">
        <f>"30621-0W025"</f>
        <v>30621-0W025</v>
      </c>
      <c r="B3900" t="str">
        <f>"PISTON KIT"</f>
        <v>PISTON KIT</v>
      </c>
      <c r="C3900">
        <v>3</v>
      </c>
      <c r="D3900">
        <v>349.24799999999999</v>
      </c>
    </row>
    <row r="3901" spans="1:4">
      <c r="A3901" t="str">
        <f>"30621-26E25"</f>
        <v>30621-26E25</v>
      </c>
      <c r="B3901" t="str">
        <f>"PISTON KIT"</f>
        <v>PISTON KIT</v>
      </c>
      <c r="C3901">
        <v>13</v>
      </c>
      <c r="D3901">
        <v>325.17599999999999</v>
      </c>
    </row>
    <row r="3902" spans="1:4">
      <c r="A3902" t="str">
        <f>"30621-2T027"</f>
        <v>30621-2T027</v>
      </c>
      <c r="B3902" t="str">
        <f>"PISTON KIT-CLUT"</f>
        <v>PISTON KIT-CLUT</v>
      </c>
      <c r="C3902">
        <v>1</v>
      </c>
      <c r="D3902">
        <v>390.86400000000003</v>
      </c>
    </row>
    <row r="3903" spans="1:4">
      <c r="A3903" t="str">
        <f>"30621-51E25"</f>
        <v>30621-51E25</v>
      </c>
      <c r="B3903" t="str">
        <f>"PISTON KIT"</f>
        <v>PISTON KIT</v>
      </c>
      <c r="C3903">
        <v>12</v>
      </c>
      <c r="D3903">
        <v>323.54399999999998</v>
      </c>
    </row>
    <row r="3904" spans="1:4">
      <c r="A3904" t="str">
        <f>"30621-U7025"</f>
        <v>30621-U7025</v>
      </c>
      <c r="B3904" t="str">
        <f>"PISTON KIT"</f>
        <v>PISTON KIT</v>
      </c>
      <c r="C3904">
        <v>2</v>
      </c>
      <c r="D3904">
        <v>317.42399999999998</v>
      </c>
    </row>
    <row r="3905" spans="1:4">
      <c r="A3905" t="str">
        <f>"30630-VB001"</f>
        <v>30630-VB001</v>
      </c>
      <c r="B3905" t="str">
        <f>"TANK ASSY-VAC"</f>
        <v>TANK ASSY-VAC</v>
      </c>
      <c r="C3905">
        <v>2</v>
      </c>
      <c r="D3905">
        <v>13325.279999999999</v>
      </c>
    </row>
    <row r="3906" spans="1:4">
      <c r="A3906" t="str">
        <f>"306A0-JA60C"</f>
        <v>306A0-JA60C</v>
      </c>
      <c r="B3906" t="str">
        <f>"Циллиндр сцеплен"</f>
        <v>Циллиндр сцеплен</v>
      </c>
      <c r="C3906">
        <v>67</v>
      </c>
      <c r="D3906">
        <v>2855.5919999999996</v>
      </c>
    </row>
    <row r="3907" spans="1:4">
      <c r="A3907" t="str">
        <f>"30770-1M200"</f>
        <v>30770-1M200</v>
      </c>
      <c r="B3907" t="str">
        <f>"CABLE-CLUTCH"</f>
        <v>CABLE-CLUTCH</v>
      </c>
      <c r="C3907">
        <v>1</v>
      </c>
      <c r="D3907">
        <v>945.3359999999999</v>
      </c>
    </row>
    <row r="3908" spans="1:4">
      <c r="A3908" t="str">
        <f>"30770-2F015"</f>
        <v>30770-2F015</v>
      </c>
      <c r="B3908" t="str">
        <f>"CABLE ASSY-CLUT"</f>
        <v>CABLE ASSY-CLUT</v>
      </c>
      <c r="C3908">
        <v>25</v>
      </c>
      <c r="D3908">
        <v>1697.28</v>
      </c>
    </row>
    <row r="3909" spans="1:4">
      <c r="A3909" t="str">
        <f>"30770-2F221"</f>
        <v>30770-2F221</v>
      </c>
      <c r="B3909" t="str">
        <f>"CABLE ASSY-CLUT"</f>
        <v>CABLE ASSY-CLUT</v>
      </c>
      <c r="C3909">
        <v>0</v>
      </c>
      <c r="D3909">
        <v>1729.9199999999998</v>
      </c>
    </row>
    <row r="3910" spans="1:4">
      <c r="A3910" t="str">
        <f>"30770-2M115"</f>
        <v>30770-2M115</v>
      </c>
      <c r="B3910" t="str">
        <f>"CABLE-CLUTCH"</f>
        <v>CABLE-CLUTCH</v>
      </c>
      <c r="C3910">
        <v>6</v>
      </c>
      <c r="D3910">
        <v>1046.52</v>
      </c>
    </row>
    <row r="3911" spans="1:4">
      <c r="A3911" t="str">
        <f>"30770-2M120"</f>
        <v>30770-2M120</v>
      </c>
      <c r="B3911" t="str">
        <f>"CABLE ASSY-CLUT"</f>
        <v>CABLE ASSY-CLUT</v>
      </c>
      <c r="C3911">
        <v>3</v>
      </c>
      <c r="D3911">
        <v>1101.192</v>
      </c>
    </row>
    <row r="3912" spans="1:4">
      <c r="A3912" t="str">
        <f>"30770-6F610"</f>
        <v>30770-6F610</v>
      </c>
      <c r="B3912" t="str">
        <f>"CABLE ASSY-CLUT"</f>
        <v>CABLE ASSY-CLUT</v>
      </c>
      <c r="C3912">
        <v>4</v>
      </c>
      <c r="D3912">
        <v>1338.24</v>
      </c>
    </row>
    <row r="3913" spans="1:4">
      <c r="A3913" t="str">
        <f>"30770-73Y10"</f>
        <v>30770-73Y10</v>
      </c>
      <c r="B3913" t="str">
        <f>"CABLE-CLUTCH"</f>
        <v>CABLE-CLUTCH</v>
      </c>
      <c r="C3913">
        <v>2</v>
      </c>
      <c r="D3913">
        <v>960.84</v>
      </c>
    </row>
    <row r="3914" spans="1:4">
      <c r="A3914" t="str">
        <f>"30770-83N05"</f>
        <v>30770-83N05</v>
      </c>
      <c r="B3914" t="str">
        <f>"CABLE-CLUTCH"</f>
        <v>CABLE-CLUTCH</v>
      </c>
      <c r="C3914">
        <v>6</v>
      </c>
      <c r="D3914">
        <v>1011.84</v>
      </c>
    </row>
    <row r="3915" spans="1:4">
      <c r="A3915" t="str">
        <f>"30770-90J11"</f>
        <v>30770-90J11</v>
      </c>
      <c r="B3915" t="str">
        <f>"CABLE ASSY-CLUT"</f>
        <v>CABLE ASSY-CLUT</v>
      </c>
      <c r="C3915">
        <v>2</v>
      </c>
      <c r="D3915">
        <v>1345.5839999999998</v>
      </c>
    </row>
    <row r="3916" spans="1:4">
      <c r="A3916" t="str">
        <f>"30770-94J11"</f>
        <v>30770-94J11</v>
      </c>
      <c r="B3916" t="str">
        <f>"CABLE ASSY-CLUT"</f>
        <v>CABLE ASSY-CLUT</v>
      </c>
      <c r="C3916">
        <v>3</v>
      </c>
      <c r="D3916">
        <v>1600.1759999999999</v>
      </c>
    </row>
    <row r="3917" spans="1:4">
      <c r="A3917" t="str">
        <f>"30855-0X80B"</f>
        <v>30855-0X80B</v>
      </c>
      <c r="B3917" t="str">
        <f>"Шланг сцепления"</f>
        <v>Шланг сцепления</v>
      </c>
      <c r="C3917">
        <v>8</v>
      </c>
      <c r="D3917">
        <v>1428</v>
      </c>
    </row>
    <row r="3918" spans="1:4">
      <c r="A3918" t="str">
        <f>"30855-21J00"</f>
        <v>30855-21J00</v>
      </c>
      <c r="B3918" t="str">
        <f>"HOSE ASSY-CLUTC"</f>
        <v>HOSE ASSY-CLUTC</v>
      </c>
      <c r="C3918">
        <v>1</v>
      </c>
      <c r="D3918">
        <v>672.38400000000001</v>
      </c>
    </row>
    <row r="3919" spans="1:4">
      <c r="A3919" t="str">
        <f>"30855-31U0B"</f>
        <v>30855-31U0B</v>
      </c>
      <c r="B3919" t="str">
        <f>"Шланг сцепления"</f>
        <v>Шланг сцепления</v>
      </c>
      <c r="C3919">
        <v>1</v>
      </c>
      <c r="D3919">
        <v>442.27199999999999</v>
      </c>
    </row>
    <row r="3920" spans="1:4">
      <c r="A3920" t="str">
        <f>"30855-31U1B"</f>
        <v>30855-31U1B</v>
      </c>
      <c r="B3920" t="str">
        <f>"Шланг сцепления"</f>
        <v>Шланг сцепления</v>
      </c>
      <c r="C3920">
        <v>13</v>
      </c>
      <c r="D3920">
        <v>1361.904</v>
      </c>
    </row>
    <row r="3921" spans="1:4">
      <c r="A3921" t="str">
        <f>"30855-7C301"</f>
        <v>30855-7C301</v>
      </c>
      <c r="B3921" t="str">
        <f>"HOSE ASSY-CLUTC"</f>
        <v>HOSE ASSY-CLUTC</v>
      </c>
      <c r="C3921">
        <v>1</v>
      </c>
      <c r="D3921">
        <v>1146.8879999999999</v>
      </c>
    </row>
    <row r="3922" spans="1:4">
      <c r="A3922" t="str">
        <f>"30855-8H80A"</f>
        <v>30855-8H80A</v>
      </c>
      <c r="B3922" t="str">
        <f>"Шланг сцепления"</f>
        <v>Шланг сцепления</v>
      </c>
      <c r="C3922">
        <v>10</v>
      </c>
      <c r="D3922">
        <v>634.84799999999996</v>
      </c>
    </row>
    <row r="3923" spans="1:4">
      <c r="A3923" t="str">
        <f>"30855-VB00A"</f>
        <v>30855-VB00A</v>
      </c>
      <c r="B3923" t="str">
        <f>"Шланг сцепления"</f>
        <v>Шланг сцепления</v>
      </c>
      <c r="C3923">
        <v>3</v>
      </c>
      <c r="D3923">
        <v>859.65599999999995</v>
      </c>
    </row>
    <row r="3924" spans="1:4">
      <c r="A3924" t="str">
        <f>"30855-VC20A"</f>
        <v>30855-VC20A</v>
      </c>
      <c r="B3924" t="str">
        <f>"Шланг сцепления"</f>
        <v>Шланг сцепления</v>
      </c>
      <c r="C3924">
        <v>2</v>
      </c>
      <c r="D3924">
        <v>852.72</v>
      </c>
    </row>
    <row r="3925" spans="1:4">
      <c r="A3925" t="str">
        <f>"31009-21X00"</f>
        <v>31009-21X00</v>
      </c>
      <c r="B3925" t="str">
        <f>"BOLT-SELF LOCK,"</f>
        <v>BOLT-SELF LOCK,</v>
      </c>
      <c r="C3925">
        <v>1</v>
      </c>
      <c r="D3925">
        <v>97.103999999999999</v>
      </c>
    </row>
    <row r="3926" spans="1:4">
      <c r="A3926" t="str">
        <f>"31020-1XF2D"</f>
        <v>31020-1XF2D</v>
      </c>
      <c r="B3926" t="str">
        <f>"Автоматическая транс"</f>
        <v>Автоматическая транс</v>
      </c>
      <c r="C3926">
        <v>4</v>
      </c>
      <c r="D3926">
        <v>196081.94399999999</v>
      </c>
    </row>
    <row r="3927" spans="1:4">
      <c r="A3927" t="str">
        <f>"31020-1XF6A"</f>
        <v>31020-1XF6A</v>
      </c>
      <c r="B3927" t="str">
        <f>"Автоматическая транс"</f>
        <v>Автоматическая транс</v>
      </c>
      <c r="C3927">
        <v>2</v>
      </c>
      <c r="D3927">
        <v>223584.81599999999</v>
      </c>
    </row>
    <row r="3928" spans="1:4">
      <c r="A3928" t="str">
        <f>"31020-3AX80"</f>
        <v>31020-3AX80</v>
      </c>
      <c r="B3928" t="str">
        <f>"Автоматическая транс"</f>
        <v>Автоматическая транс</v>
      </c>
      <c r="C3928">
        <v>1</v>
      </c>
      <c r="D3928">
        <v>63310.583999999995</v>
      </c>
    </row>
    <row r="3929" spans="1:4">
      <c r="A3929" t="str">
        <f>"31037-71L00"</f>
        <v>31037-71L00</v>
      </c>
      <c r="B3929" t="str">
        <f>"RESISTER ASSY"</f>
        <v>RESISTER ASSY</v>
      </c>
      <c r="C3929">
        <v>9</v>
      </c>
      <c r="D3929">
        <v>1487.568</v>
      </c>
    </row>
    <row r="3930" spans="1:4">
      <c r="A3930" t="str">
        <f>"31037-8E002"</f>
        <v>31037-8E002</v>
      </c>
      <c r="B3930" t="str">
        <f>"RESISTOR ASSY-A"</f>
        <v>RESISTOR ASSY-A</v>
      </c>
      <c r="C3930">
        <v>9</v>
      </c>
      <c r="D3930">
        <v>622.60800000000006</v>
      </c>
    </row>
    <row r="3931" spans="1:4">
      <c r="A3931" t="str">
        <f>"31037-AN100"</f>
        <v>31037-AN100</v>
      </c>
      <c r="B3931" t="str">
        <f>"Резистор"</f>
        <v>Резистор</v>
      </c>
      <c r="C3931">
        <v>0</v>
      </c>
      <c r="D3931">
        <v>1538.568</v>
      </c>
    </row>
    <row r="3932" spans="1:4">
      <c r="A3932" t="str">
        <f>"31098-BM400"</f>
        <v>31098-BM400</v>
      </c>
      <c r="B3932" t="str">
        <f>"HOSE-BREATHER"</f>
        <v>HOSE-BREATHER</v>
      </c>
      <c r="C3932">
        <v>1</v>
      </c>
      <c r="D3932">
        <v>355.77600000000001</v>
      </c>
    </row>
    <row r="3933" spans="1:4">
      <c r="A3933" t="str">
        <f>"31344-21X00"</f>
        <v>31344-21X00</v>
      </c>
      <c r="B3933" t="str">
        <f>"SEAL-OIL CONVER"</f>
        <v>SEAL-OIL CONVER</v>
      </c>
      <c r="C3933">
        <v>10</v>
      </c>
      <c r="D3933">
        <v>247.24799999999999</v>
      </c>
    </row>
    <row r="3934" spans="1:4">
      <c r="A3934" t="str">
        <f>"31375-1XD00"</f>
        <v>31375-1XD00</v>
      </c>
      <c r="B3934" t="str">
        <f>"Кольцо уплотнительно"</f>
        <v>Кольцо уплотнительно</v>
      </c>
      <c r="C3934">
        <v>22</v>
      </c>
      <c r="D3934">
        <v>217.05599999999998</v>
      </c>
    </row>
    <row r="3935" spans="1:4">
      <c r="A3935" t="str">
        <f>"31375-1XF00"</f>
        <v>31375-1XF00</v>
      </c>
      <c r="B3935" t="str">
        <f>"Уплотнительное кольц"</f>
        <v>Уплотнительное кольц</v>
      </c>
      <c r="C3935">
        <v>0</v>
      </c>
      <c r="D3935">
        <v>185.232</v>
      </c>
    </row>
    <row r="3936" spans="1:4">
      <c r="A3936" t="str">
        <f>"31375-1XF0B"</f>
        <v>31375-1XF0B</v>
      </c>
      <c r="B3936" t="str">
        <f>"Кольцо уплотнительно"</f>
        <v>Кольцо уплотнительно</v>
      </c>
      <c r="C3936">
        <v>11</v>
      </c>
      <c r="D3936">
        <v>147.696</v>
      </c>
    </row>
    <row r="3937" spans="1:4">
      <c r="A3937" t="str">
        <f>"31375-31X03"</f>
        <v>31375-31X03</v>
      </c>
      <c r="B3937" t="str">
        <f>"SEAL-HOUSING,OI"</f>
        <v>SEAL-HOUSING,OI</v>
      </c>
      <c r="C3937">
        <v>0</v>
      </c>
      <c r="D3937">
        <v>177.88800000000001</v>
      </c>
    </row>
    <row r="3938" spans="1:4">
      <c r="A3938" t="str">
        <f>"31375-41X01"</f>
        <v>31375-41X01</v>
      </c>
      <c r="B3938" t="str">
        <f>"Кольцо уплотнительно"</f>
        <v>Кольцо уплотнительно</v>
      </c>
      <c r="C3938">
        <v>0</v>
      </c>
      <c r="D3938">
        <v>218.68800000000002</v>
      </c>
    </row>
    <row r="3939" spans="1:4">
      <c r="A3939" t="str">
        <f>"31375-4AX02"</f>
        <v>31375-4AX02</v>
      </c>
      <c r="B3939" t="str">
        <f>"Кольцо уплотнительно"</f>
        <v>Кольцо уплотнительно</v>
      </c>
      <c r="C3939">
        <v>6</v>
      </c>
      <c r="D3939">
        <v>121.58399999999999</v>
      </c>
    </row>
    <row r="3940" spans="1:4">
      <c r="A3940" t="str">
        <f>"31375-51X03"</f>
        <v>31375-51X03</v>
      </c>
      <c r="B3940" t="str">
        <f>"SEAL-HOUSING,OI"</f>
        <v>SEAL-HOUSING,OI</v>
      </c>
      <c r="C3940">
        <v>15</v>
      </c>
      <c r="D3940">
        <v>121.99199999999999</v>
      </c>
    </row>
    <row r="3941" spans="1:4">
      <c r="A3941" t="str">
        <f>"31375-80X01"</f>
        <v>31375-80X01</v>
      </c>
      <c r="B3941" t="str">
        <f>"SEAL-HOUSING,OI"</f>
        <v>SEAL-HOUSING,OI</v>
      </c>
      <c r="C3941">
        <v>40</v>
      </c>
      <c r="D3941">
        <v>174.21600000000001</v>
      </c>
    </row>
    <row r="3942" spans="1:4">
      <c r="A3942" t="str">
        <f>"31375-8E002"</f>
        <v>31375-8E002</v>
      </c>
      <c r="B3942" t="str">
        <f>"SEAL-OIL,OIL PU"</f>
        <v>SEAL-OIL,OIL PU</v>
      </c>
      <c r="C3942">
        <v>10</v>
      </c>
      <c r="D3942">
        <v>121.58399999999999</v>
      </c>
    </row>
    <row r="3943" spans="1:4">
      <c r="A3943" t="str">
        <f>"31390-31X00"</f>
        <v>31390-31X00</v>
      </c>
      <c r="B3943" t="str">
        <f>"PAN ASSY-OIL"</f>
        <v>PAN ASSY-OIL</v>
      </c>
      <c r="C3943">
        <v>2</v>
      </c>
      <c r="D3943">
        <v>1219.92</v>
      </c>
    </row>
    <row r="3944" spans="1:4">
      <c r="A3944" t="str">
        <f>"31390-80X0A"</f>
        <v>31390-80X0A</v>
      </c>
      <c r="B3944" t="str">
        <f>"PAN ASSY-OIL"</f>
        <v>PAN ASSY-OIL</v>
      </c>
      <c r="C3944">
        <v>10</v>
      </c>
      <c r="D3944">
        <v>1250.5199999999998</v>
      </c>
    </row>
    <row r="3945" spans="1:4">
      <c r="A3945" t="str">
        <f>"31390-90X0B"</f>
        <v>31390-90X0B</v>
      </c>
      <c r="B3945" t="str">
        <f>"ПОДДОН МАСЛ"</f>
        <v>ПОДДОН МАСЛ</v>
      </c>
      <c r="C3945">
        <v>0</v>
      </c>
      <c r="D3945">
        <v>2648.328</v>
      </c>
    </row>
    <row r="3946" spans="1:4">
      <c r="A3946" t="str">
        <f>"31396-1XD01"</f>
        <v>31396-1XD01</v>
      </c>
      <c r="B3946" t="str">
        <f>"HEAT-SINK OIL"</f>
        <v>HEAT-SINK OIL</v>
      </c>
      <c r="C3946">
        <v>1</v>
      </c>
      <c r="D3946">
        <v>3000.0239999999999</v>
      </c>
    </row>
    <row r="3947" spans="1:4">
      <c r="A3947" t="str">
        <f>"31397-1XE0A"</f>
        <v>31397-1XE0A</v>
      </c>
      <c r="B3947" t="str">
        <f>"Прокладка поддона АК"</f>
        <v>Прокладка поддона АК</v>
      </c>
      <c r="C3947">
        <v>13</v>
      </c>
      <c r="D3947">
        <v>787.44</v>
      </c>
    </row>
    <row r="3948" spans="1:4">
      <c r="A3948" t="str">
        <f>"31397-1XF0C"</f>
        <v>31397-1XF0C</v>
      </c>
      <c r="B3948" t="str">
        <f>"Прокладка поддона АК"</f>
        <v>Прокладка поддона АК</v>
      </c>
      <c r="C3948">
        <v>0</v>
      </c>
      <c r="D3948">
        <v>822.12</v>
      </c>
    </row>
    <row r="3949" spans="1:4">
      <c r="A3949" t="str">
        <f>"31397-1XF0D"</f>
        <v>31397-1XF0D</v>
      </c>
      <c r="B3949" t="str">
        <f>"Прокладка поддон"</f>
        <v>Прокладка поддон</v>
      </c>
      <c r="C3949">
        <v>0</v>
      </c>
      <c r="D3949">
        <v>777.24</v>
      </c>
    </row>
    <row r="3950" spans="1:4">
      <c r="A3950" t="str">
        <f>"31397-31X02"</f>
        <v>31397-31X02</v>
      </c>
      <c r="B3950" t="str">
        <f t="shared" ref="B3950:B3955" si="81">"GASKET-OIL PAN"</f>
        <v>GASKET-OIL PAN</v>
      </c>
      <c r="C3950">
        <v>29</v>
      </c>
      <c r="D3950">
        <v>418.60799999999995</v>
      </c>
    </row>
    <row r="3951" spans="1:4">
      <c r="A3951" t="str">
        <f>"31397-41B00"</f>
        <v>31397-41B00</v>
      </c>
      <c r="B3951" t="str">
        <f t="shared" si="81"/>
        <v>GASKET-OIL PAN</v>
      </c>
      <c r="C3951">
        <v>3</v>
      </c>
      <c r="D3951">
        <v>348.02399999999994</v>
      </c>
    </row>
    <row r="3952" spans="1:4">
      <c r="A3952" t="str">
        <f>"31397-41X04"</f>
        <v>31397-41X04</v>
      </c>
      <c r="B3952" t="str">
        <f t="shared" si="81"/>
        <v>GASKET-OIL PAN</v>
      </c>
      <c r="C3952">
        <v>34</v>
      </c>
      <c r="D3952">
        <v>586.29599999999994</v>
      </c>
    </row>
    <row r="3953" spans="1:4">
      <c r="A3953" t="str">
        <f>"31397-41X05"</f>
        <v>31397-41X05</v>
      </c>
      <c r="B3953" t="str">
        <f t="shared" si="81"/>
        <v>GASKET-OIL PAN</v>
      </c>
      <c r="C3953">
        <v>23</v>
      </c>
      <c r="D3953">
        <v>560.18399999999997</v>
      </c>
    </row>
    <row r="3954" spans="1:4">
      <c r="A3954" t="str">
        <f>"31397-80X01"</f>
        <v>31397-80X01</v>
      </c>
      <c r="B3954" t="str">
        <f t="shared" si="81"/>
        <v>GASKET-OIL PAN</v>
      </c>
      <c r="C3954">
        <v>23</v>
      </c>
      <c r="D3954">
        <v>560.59199999999998</v>
      </c>
    </row>
    <row r="3955" spans="1:4">
      <c r="A3955" t="str">
        <f>"31397-8E000"</f>
        <v>31397-8E000</v>
      </c>
      <c r="B3955" t="str">
        <f t="shared" si="81"/>
        <v>GASKET-OIL PAN</v>
      </c>
      <c r="C3955">
        <v>50</v>
      </c>
      <c r="D3955">
        <v>531.21600000000001</v>
      </c>
    </row>
    <row r="3956" spans="1:4">
      <c r="A3956" t="str">
        <f>"31397-90X0A"</f>
        <v>31397-90X0A</v>
      </c>
      <c r="B3956" t="str">
        <f>"Прокладка поддона АК"</f>
        <v>Прокладка поддона АК</v>
      </c>
      <c r="C3956">
        <v>22</v>
      </c>
      <c r="D3956">
        <v>825.79199999999992</v>
      </c>
    </row>
    <row r="3957" spans="1:4">
      <c r="A3957" t="str">
        <f>"31397-95X25"</f>
        <v>31397-95X25</v>
      </c>
      <c r="B3957" t="str">
        <f>"Прокладка поддона АК"</f>
        <v>Прокладка поддона АК</v>
      </c>
      <c r="C3957">
        <v>8</v>
      </c>
      <c r="D3957">
        <v>6955.9919999999993</v>
      </c>
    </row>
    <row r="3958" spans="1:4">
      <c r="A3958" t="str">
        <f>"31526-41X07"</f>
        <v>31526-41X07</v>
      </c>
      <c r="B3958" t="str">
        <f>"SEAL-O RING"</f>
        <v>SEAL-O RING</v>
      </c>
      <c r="C3958">
        <v>24</v>
      </c>
      <c r="D3958">
        <v>50.591999999999992</v>
      </c>
    </row>
    <row r="3959" spans="1:4">
      <c r="A3959" t="str">
        <f>"31526-80X01"</f>
        <v>31526-80X01</v>
      </c>
      <c r="B3959" t="str">
        <f>"Уплотнительное кольц"</f>
        <v>Уплотнительное кольц</v>
      </c>
      <c r="C3959">
        <v>1</v>
      </c>
      <c r="D3959">
        <v>172.17599999999999</v>
      </c>
    </row>
    <row r="3960" spans="1:4">
      <c r="A3960" t="str">
        <f>"31526-8E007"</f>
        <v>31526-8E007</v>
      </c>
      <c r="B3960" t="str">
        <f>"RING-SEAL (25)"</f>
        <v>RING-SEAL (25)</v>
      </c>
      <c r="C3960">
        <v>12</v>
      </c>
      <c r="D3960">
        <v>136.68</v>
      </c>
    </row>
    <row r="3961" spans="1:4">
      <c r="A3961" t="str">
        <f>"31726-1XA01"</f>
        <v>31726-1XA01</v>
      </c>
      <c r="B3961" t="str">
        <f>"FILTER ASSY-OIL"</f>
        <v>FILTER ASSY-OIL</v>
      </c>
      <c r="C3961">
        <v>8</v>
      </c>
      <c r="D3961">
        <v>246.83999999999997</v>
      </c>
    </row>
    <row r="3962" spans="1:4">
      <c r="A3962" t="str">
        <f>"31726-1XA02"</f>
        <v>31726-1XA02</v>
      </c>
      <c r="B3962" t="str">
        <f>"Фильтр масла АКП"</f>
        <v>Фильтр масла АКП</v>
      </c>
      <c r="C3962">
        <v>3</v>
      </c>
      <c r="D3962">
        <v>243.98399999999998</v>
      </c>
    </row>
    <row r="3963" spans="1:4">
      <c r="A3963" t="str">
        <f>"31726-6N201"</f>
        <v>31726-6N201</v>
      </c>
      <c r="B3963" t="str">
        <f>"Фильтр масла АКП"</f>
        <v>Фильтр масла АКП</v>
      </c>
      <c r="C3963">
        <v>0</v>
      </c>
      <c r="D3963">
        <v>3142.4159999999997</v>
      </c>
    </row>
    <row r="3964" spans="1:4">
      <c r="A3964" t="str">
        <f>"31726-AN800"</f>
        <v>31726-AN800</v>
      </c>
      <c r="B3964" t="str">
        <f>"Фильтр масла АКП"</f>
        <v>Фильтр масла АКП</v>
      </c>
      <c r="C3964">
        <v>3</v>
      </c>
      <c r="D3964">
        <v>2990.64</v>
      </c>
    </row>
    <row r="3965" spans="1:4">
      <c r="A3965" t="str">
        <f>"31728-21X02"</f>
        <v>31728-21X02</v>
      </c>
      <c r="B3965" t="str">
        <f>"STRAINER ASSY-O"</f>
        <v>STRAINER ASSY-O</v>
      </c>
      <c r="C3965">
        <v>3</v>
      </c>
      <c r="D3965">
        <v>1237.056</v>
      </c>
    </row>
    <row r="3966" spans="1:4">
      <c r="A3966" t="str">
        <f>"31728-31X01"</f>
        <v>31728-31X01</v>
      </c>
      <c r="B3966" t="str">
        <f>"STRAINER ASSY-O"</f>
        <v>STRAINER ASSY-O</v>
      </c>
      <c r="C3966">
        <v>36</v>
      </c>
      <c r="D3966">
        <v>1103.6400000000001</v>
      </c>
    </row>
    <row r="3967" spans="1:4">
      <c r="A3967" t="str">
        <f>"31728-41B00"</f>
        <v>31728-41B00</v>
      </c>
      <c r="B3967" t="str">
        <f>"STRAINER ASSY-O"</f>
        <v>STRAINER ASSY-O</v>
      </c>
      <c r="C3967">
        <v>12</v>
      </c>
      <c r="D3967">
        <v>1216.2479999999998</v>
      </c>
    </row>
    <row r="3968" spans="1:4">
      <c r="A3968" t="str">
        <f>"31728-41X02"</f>
        <v>31728-41X02</v>
      </c>
      <c r="B3968" t="str">
        <f>"STRAINER ASSY-O"</f>
        <v>STRAINER ASSY-O</v>
      </c>
      <c r="C3968">
        <v>17</v>
      </c>
      <c r="D3968">
        <v>1064.8799999999999</v>
      </c>
    </row>
    <row r="3969" spans="1:4">
      <c r="A3969" t="str">
        <f>"31728-41X03"</f>
        <v>31728-41X03</v>
      </c>
      <c r="B3969" t="str">
        <f>"STRAINER ASSY-O"</f>
        <v>STRAINER ASSY-O</v>
      </c>
      <c r="C3969">
        <v>7</v>
      </c>
      <c r="D3969">
        <v>895.15200000000004</v>
      </c>
    </row>
    <row r="3970" spans="1:4">
      <c r="A3970" t="str">
        <f>"31728-4AX00"</f>
        <v>31728-4AX00</v>
      </c>
      <c r="B3970" t="str">
        <f>"Фильтр масла АКП"</f>
        <v>Фильтр масла АКП</v>
      </c>
      <c r="C3970">
        <v>24</v>
      </c>
      <c r="D3970">
        <v>1151.376</v>
      </c>
    </row>
    <row r="3971" spans="1:4">
      <c r="A3971" t="str">
        <f>"31728-7S11A"</f>
        <v>31728-7S11A</v>
      </c>
      <c r="B3971" t="str">
        <f>"Фильтр масла АКП"</f>
        <v>Фильтр масла АКП</v>
      </c>
      <c r="C3971">
        <v>6</v>
      </c>
      <c r="D3971">
        <v>1122</v>
      </c>
    </row>
    <row r="3972" spans="1:4">
      <c r="A3972" t="str">
        <f>"31728-80X04"</f>
        <v>31728-80X04</v>
      </c>
      <c r="B3972" t="str">
        <f>"STRAINER ASSY-O"</f>
        <v>STRAINER ASSY-O</v>
      </c>
      <c r="C3972">
        <v>21</v>
      </c>
      <c r="D3972">
        <v>1168.5119999999999</v>
      </c>
    </row>
    <row r="3973" spans="1:4">
      <c r="A3973" t="str">
        <f>"31728-85X0A"</f>
        <v>31728-85X0A</v>
      </c>
      <c r="B3973" t="str">
        <f>"Фильтр масла АКП"</f>
        <v>Фильтр масла АКП</v>
      </c>
      <c r="C3973">
        <v>10</v>
      </c>
      <c r="D3973">
        <v>1069.3679999999999</v>
      </c>
    </row>
    <row r="3974" spans="1:4">
      <c r="A3974" t="str">
        <f>"31728-8E000"</f>
        <v>31728-8E000</v>
      </c>
      <c r="B3974" t="str">
        <f>"STRAINER ASSY-O"</f>
        <v>STRAINER ASSY-O</v>
      </c>
      <c r="C3974">
        <v>81</v>
      </c>
      <c r="D3974">
        <v>1333.752</v>
      </c>
    </row>
    <row r="3975" spans="1:4">
      <c r="A3975" t="str">
        <f>"31728-8E001"</f>
        <v>31728-8E001</v>
      </c>
      <c r="B3975" t="str">
        <f>"STRAINER ASSY-O"</f>
        <v>STRAINER ASSY-O</v>
      </c>
      <c r="C3975">
        <v>8</v>
      </c>
      <c r="D3975">
        <v>1031.8319999999999</v>
      </c>
    </row>
    <row r="3976" spans="1:4">
      <c r="A3976" t="str">
        <f>"31728-8E003"</f>
        <v>31728-8E003</v>
      </c>
      <c r="B3976" t="str">
        <f>"STRAINER ASSY-O"</f>
        <v>STRAINER ASSY-O</v>
      </c>
      <c r="C3976">
        <v>7</v>
      </c>
      <c r="D3976">
        <v>1003.68</v>
      </c>
    </row>
    <row r="3977" spans="1:4">
      <c r="A3977" t="str">
        <f>"31918-1XF00"</f>
        <v>31918-1XF00</v>
      </c>
      <c r="B3977" t="str">
        <f>"Переключатель"</f>
        <v>Переключатель</v>
      </c>
      <c r="C3977">
        <v>0</v>
      </c>
      <c r="D3977">
        <v>3307.6559999999999</v>
      </c>
    </row>
    <row r="3978" spans="1:4">
      <c r="A3978" t="str">
        <f>"31918-3AX01"</f>
        <v>31918-3AX01</v>
      </c>
      <c r="B3978" t="str">
        <f>"SWITCH ASSY-PNP"</f>
        <v>SWITCH ASSY-PNP</v>
      </c>
      <c r="C3978">
        <v>18</v>
      </c>
      <c r="D3978">
        <v>2880.0719999999997</v>
      </c>
    </row>
    <row r="3979" spans="1:4">
      <c r="A3979" t="str">
        <f>"31935-1XF00"</f>
        <v>31935-1XF00</v>
      </c>
      <c r="B3979" t="str">
        <f>"Датчик АКПП"</f>
        <v>Датчик АКПП</v>
      </c>
      <c r="C3979">
        <v>0</v>
      </c>
      <c r="D3979">
        <v>4126.5119999999997</v>
      </c>
    </row>
    <row r="3980" spans="1:4">
      <c r="A3980" t="str">
        <f>"31935-8E006"</f>
        <v>31935-8E006</v>
      </c>
      <c r="B3980" t="str">
        <f>"SENSOR ASSY"</f>
        <v>SENSOR ASSY</v>
      </c>
      <c r="C3980">
        <v>20</v>
      </c>
      <c r="D3980">
        <v>4867.4399999999996</v>
      </c>
    </row>
    <row r="3981" spans="1:4">
      <c r="A3981" t="str">
        <f>"31940-3AX0A"</f>
        <v>31940-3AX0A</v>
      </c>
      <c r="B3981" t="str">
        <f>"Клапан блока управл "</f>
        <v xml:space="preserve">Клапан блока управл </v>
      </c>
      <c r="C3981">
        <v>0</v>
      </c>
      <c r="D3981">
        <v>10232.640000000001</v>
      </c>
    </row>
    <row r="3982" spans="1:4">
      <c r="A3982" t="str">
        <f>"31940-85X0B"</f>
        <v>31940-85X0B</v>
      </c>
      <c r="B3982" t="str">
        <f>"Клапанный блок А"</f>
        <v>Клапанный блок А</v>
      </c>
      <c r="C3982">
        <v>4</v>
      </c>
      <c r="D3982">
        <v>9727.9439999999995</v>
      </c>
    </row>
    <row r="3983" spans="1:4">
      <c r="A3983" t="str">
        <f>"31947-8E002"</f>
        <v>31947-8E002</v>
      </c>
      <c r="B3983" t="str">
        <f>"MOTOR ASSY-STEP"</f>
        <v>MOTOR ASSY-STEP</v>
      </c>
      <c r="C3983">
        <v>0</v>
      </c>
      <c r="D3983">
        <v>4869.0720000000001</v>
      </c>
    </row>
    <row r="3984" spans="1:4">
      <c r="A3984" t="str">
        <f>"32005-00QAE"</f>
        <v>32005-00QAE</v>
      </c>
      <c r="B3984" t="str">
        <f>"Датчик заднего хода "</f>
        <v xml:space="preserve">Датчик заднего хода </v>
      </c>
      <c r="C3984">
        <v>9</v>
      </c>
      <c r="D3984">
        <v>583.43999999999994</v>
      </c>
    </row>
    <row r="3985" spans="1:4">
      <c r="A3985" t="str">
        <f>"32005-17E1A"</f>
        <v>32005-17E1A</v>
      </c>
      <c r="B3985" t="str">
        <f>"Датчик заднего хода "</f>
        <v xml:space="preserve">Датчик заднего хода </v>
      </c>
      <c r="C3985">
        <v>21</v>
      </c>
      <c r="D3985">
        <v>604.24800000000005</v>
      </c>
    </row>
    <row r="3986" spans="1:4">
      <c r="A3986" t="str">
        <f>"32005-21U1B"</f>
        <v>32005-21U1B</v>
      </c>
      <c r="B3986" t="str">
        <f>"Датчик заднего хода "</f>
        <v xml:space="preserve">Датчик заднего хода </v>
      </c>
      <c r="C3986">
        <v>15</v>
      </c>
      <c r="D3986">
        <v>583.03200000000004</v>
      </c>
    </row>
    <row r="3987" spans="1:4">
      <c r="A3987" t="str">
        <f>"32005-6J00A"</f>
        <v>32005-6J00A</v>
      </c>
      <c r="B3987" t="str">
        <f>"Датчик заднего хода "</f>
        <v xml:space="preserve">Датчик заднего хода </v>
      </c>
      <c r="C3987">
        <v>12</v>
      </c>
      <c r="D3987">
        <v>529.99199999999996</v>
      </c>
    </row>
    <row r="3988" spans="1:4">
      <c r="A3988" t="str">
        <f>"32005-70E2A"</f>
        <v>32005-70E2A</v>
      </c>
      <c r="B3988" t="str">
        <f>"Датчик заднего хода "</f>
        <v xml:space="preserve">Датчик заднего хода </v>
      </c>
      <c r="C3988">
        <v>13</v>
      </c>
      <c r="D3988">
        <v>594.45600000000002</v>
      </c>
    </row>
    <row r="3989" spans="1:4">
      <c r="A3989" t="str">
        <f>"32005-7S11A"</f>
        <v>32005-7S11A</v>
      </c>
      <c r="B3989" t="str">
        <f>"Датчик заднего х"</f>
        <v>Датчик заднего х</v>
      </c>
      <c r="C3989">
        <v>4</v>
      </c>
      <c r="D3989">
        <v>678.50399999999991</v>
      </c>
    </row>
    <row r="3990" spans="1:4">
      <c r="A3990" t="str">
        <f>"32005-WD90A"</f>
        <v>32005-WD90A</v>
      </c>
      <c r="B3990" t="str">
        <f>"Датчик заднего хода "</f>
        <v xml:space="preserve">Датчик заднего хода </v>
      </c>
      <c r="C3990">
        <v>6</v>
      </c>
      <c r="D3990">
        <v>650.35199999999998</v>
      </c>
    </row>
    <row r="3991" spans="1:4">
      <c r="A3991" t="str">
        <f>"32006-51J6A"</f>
        <v>32006-51J6A</v>
      </c>
      <c r="B3991" t="str">
        <f>"Датчик нейтрали"</f>
        <v>Датчик нейтрали</v>
      </c>
      <c r="C3991">
        <v>12</v>
      </c>
      <c r="D3991">
        <v>402.28800000000001</v>
      </c>
    </row>
    <row r="3992" spans="1:4">
      <c r="A3992" t="str">
        <f>"32006-6J00A"</f>
        <v>32006-6J00A</v>
      </c>
      <c r="B3992" t="str">
        <f>"Датчик нейтрали"</f>
        <v>Датчик нейтрали</v>
      </c>
      <c r="C3992">
        <v>7</v>
      </c>
      <c r="D3992">
        <v>381.072</v>
      </c>
    </row>
    <row r="3993" spans="1:4">
      <c r="A3993" t="str">
        <f>"32010-4M506"</f>
        <v>32010-4M506</v>
      </c>
      <c r="B3993" t="str">
        <f>"TRANSAXLE ASSY"</f>
        <v>TRANSAXLE ASSY</v>
      </c>
      <c r="C3993">
        <v>1</v>
      </c>
      <c r="D3993">
        <v>93701.279999999984</v>
      </c>
    </row>
    <row r="3994" spans="1:4">
      <c r="A3994" t="str">
        <f>"32010-AV708"</f>
        <v>32010-AV708</v>
      </c>
      <c r="B3994" t="str">
        <f>"TRANSAXLE ASSY"</f>
        <v>TRANSAXLE ASSY</v>
      </c>
      <c r="C3994">
        <v>8</v>
      </c>
      <c r="D3994">
        <v>93816.335999999996</v>
      </c>
    </row>
    <row r="3995" spans="1:4">
      <c r="A3995" t="str">
        <f>"32103-01A0A"</f>
        <v>32103-01A0A</v>
      </c>
      <c r="B3995" t="str">
        <f>"Пробка сливного отве"</f>
        <v>Пробка сливного отве</v>
      </c>
      <c r="C3995">
        <v>17</v>
      </c>
      <c r="D3995">
        <v>246.83999999999997</v>
      </c>
    </row>
    <row r="3996" spans="1:4">
      <c r="A3996" t="str">
        <f>"32103-U840A"</f>
        <v>32103-U840A</v>
      </c>
      <c r="B3996" t="str">
        <f>"Заливная пробка МКПП"</f>
        <v>Заливная пробка МКПП</v>
      </c>
      <c r="C3996">
        <v>1</v>
      </c>
      <c r="D3996">
        <v>216.648</v>
      </c>
    </row>
    <row r="3997" spans="1:4">
      <c r="A3997" t="str">
        <f>"32104-6J001"</f>
        <v>32104-6J001</v>
      </c>
      <c r="B3997" t="str">
        <f>"PLUG-GEAR OIL"</f>
        <v>PLUG-GEAR OIL</v>
      </c>
      <c r="C3997">
        <v>4</v>
      </c>
      <c r="D3997">
        <v>67.319999999999993</v>
      </c>
    </row>
    <row r="3998" spans="1:4">
      <c r="A3998" t="str">
        <f>"32109-M8001"</f>
        <v>32109-M8001</v>
      </c>
      <c r="B3998" t="str">
        <f>"CHANNEL-OIL"</f>
        <v>CHANNEL-OIL</v>
      </c>
      <c r="C3998">
        <v>18</v>
      </c>
      <c r="D3998">
        <v>45.695999999999998</v>
      </c>
    </row>
    <row r="3999" spans="1:4">
      <c r="A3999" t="str">
        <f>"32111-91P00"</f>
        <v>32111-91P00</v>
      </c>
      <c r="B3999" t="str">
        <f>"Крышка внутренняя МК"</f>
        <v>Крышка внутренняя МК</v>
      </c>
      <c r="C3999">
        <v>3</v>
      </c>
      <c r="D3999">
        <v>1859.664</v>
      </c>
    </row>
    <row r="4000" spans="1:4">
      <c r="A4000" t="str">
        <f>"32112-05U12"</f>
        <v>32112-05U12</v>
      </c>
      <c r="B4000" t="str">
        <f>"GASKET FR COVER"</f>
        <v>GASKET FR COVER</v>
      </c>
      <c r="C4000">
        <v>11</v>
      </c>
      <c r="D4000">
        <v>111.79199999999999</v>
      </c>
    </row>
    <row r="4001" spans="1:4">
      <c r="A4001" t="str">
        <f>"32112-08U01"</f>
        <v>32112-08U01</v>
      </c>
      <c r="B4001" t="str">
        <f>"GASKET FR COVER"</f>
        <v>GASKET FR COVER</v>
      </c>
      <c r="C4001">
        <v>7</v>
      </c>
      <c r="D4001">
        <v>163.19999999999999</v>
      </c>
    </row>
    <row r="4002" spans="1:4">
      <c r="A4002" t="str">
        <f>"32113-00QAB"</f>
        <v>32113-00QAB</v>
      </c>
      <c r="B4002" t="str">
        <f>"Сальник КПП"</f>
        <v>Сальник КПП</v>
      </c>
      <c r="C4002">
        <v>14</v>
      </c>
      <c r="D4002">
        <v>139.94399999999999</v>
      </c>
    </row>
    <row r="4003" spans="1:4">
      <c r="A4003" t="str">
        <f>"32113-03E00"</f>
        <v>32113-03E00</v>
      </c>
      <c r="B4003" t="str">
        <f>"SEAL-OIL,INPUT"</f>
        <v>SEAL-OIL,INPUT</v>
      </c>
      <c r="C4003">
        <v>11</v>
      </c>
      <c r="D4003">
        <v>137.08799999999999</v>
      </c>
    </row>
    <row r="4004" spans="1:4">
      <c r="A4004" t="str">
        <f>"32113-8H500"</f>
        <v>32113-8H500</v>
      </c>
      <c r="B4004" t="str">
        <f>"SEAL-OIL,INPUT"</f>
        <v>SEAL-OIL,INPUT</v>
      </c>
      <c r="C4004">
        <v>7</v>
      </c>
      <c r="D4004">
        <v>137.904</v>
      </c>
    </row>
    <row r="4005" spans="1:4">
      <c r="A4005" t="str">
        <f>"32113-M8000"</f>
        <v>32113-M8000</v>
      </c>
      <c r="B4005" t="str">
        <f>"SEAL-OIL,INPUT"</f>
        <v>SEAL-OIL,INPUT</v>
      </c>
      <c r="C4005">
        <v>5</v>
      </c>
      <c r="D4005">
        <v>128.51999999999998</v>
      </c>
    </row>
    <row r="4006" spans="1:4">
      <c r="A4006" t="str">
        <f>"32113-VB000"</f>
        <v>32113-VB000</v>
      </c>
      <c r="B4006" t="str">
        <f>"SEAL-OIL COVER"</f>
        <v>SEAL-OIL COVER</v>
      </c>
      <c r="C4006">
        <v>9</v>
      </c>
      <c r="D4006">
        <v>104.85599999999999</v>
      </c>
    </row>
    <row r="4007" spans="1:4">
      <c r="A4007" t="str">
        <f>"32114-Y4000"</f>
        <v>32114-Y4000</v>
      </c>
      <c r="B4007" t="str">
        <f>"SEAL-OIL COVER"</f>
        <v>SEAL-OIL COVER</v>
      </c>
      <c r="C4007">
        <v>26</v>
      </c>
      <c r="D4007">
        <v>79.151999999999987</v>
      </c>
    </row>
    <row r="4008" spans="1:4">
      <c r="A4008" t="str">
        <f>"32131-00QAB"</f>
        <v>32131-00QAB</v>
      </c>
      <c r="B4008" t="str">
        <f>"Крышка корпуса К"</f>
        <v>Крышка корпуса К</v>
      </c>
      <c r="C4008">
        <v>4</v>
      </c>
      <c r="D4008">
        <v>884.952</v>
      </c>
    </row>
    <row r="4009" spans="1:4">
      <c r="A4009" t="str">
        <f>"32135-AX001"</f>
        <v>32135-AX001</v>
      </c>
      <c r="B4009" t="str">
        <f>"SEAL-OIL,DRAIN"</f>
        <v>SEAL-OIL,DRAIN</v>
      </c>
      <c r="C4009">
        <v>20</v>
      </c>
      <c r="D4009">
        <v>9.7919999999999998</v>
      </c>
    </row>
    <row r="4010" spans="1:4">
      <c r="A4010" t="str">
        <f>"32136-01J00"</f>
        <v>32136-01J00</v>
      </c>
      <c r="B4010" t="str">
        <f>"SEAL-OIL"</f>
        <v>SEAL-OIL</v>
      </c>
      <c r="C4010">
        <v>9</v>
      </c>
      <c r="D4010">
        <v>185.64</v>
      </c>
    </row>
    <row r="4011" spans="1:4">
      <c r="A4011" t="str">
        <f>"32136-H5010"</f>
        <v>32136-H5010</v>
      </c>
      <c r="B4011" t="str">
        <f>"SEAL-OIL REAR"</f>
        <v>SEAL-OIL REAR</v>
      </c>
      <c r="C4011">
        <v>6</v>
      </c>
      <c r="D4011">
        <v>361.08</v>
      </c>
    </row>
    <row r="4012" spans="1:4">
      <c r="A4012" t="str">
        <f>"32136-U010A"</f>
        <v>32136-U010A</v>
      </c>
      <c r="B4012" t="str">
        <f>"Сальник КПП"</f>
        <v>Сальник КПП</v>
      </c>
      <c r="C4012">
        <v>15</v>
      </c>
      <c r="D4012">
        <v>259.08</v>
      </c>
    </row>
    <row r="4013" spans="1:4">
      <c r="A4013" t="str">
        <f>"32200-4M400"</f>
        <v>32200-4M400</v>
      </c>
      <c r="B4013" t="str">
        <f>"GEAR-INPUT SHAF"</f>
        <v>GEAR-INPUT SHAF</v>
      </c>
      <c r="C4013">
        <v>8</v>
      </c>
      <c r="D4013">
        <v>8780.5679999999993</v>
      </c>
    </row>
    <row r="4014" spans="1:4">
      <c r="A4014" t="str">
        <f>"32200-4M401"</f>
        <v>32200-4M401</v>
      </c>
      <c r="B4014" t="str">
        <f>"GEAR-INPUT SHAF"</f>
        <v>GEAR-INPUT SHAF</v>
      </c>
      <c r="C4014">
        <v>2</v>
      </c>
      <c r="D4014">
        <v>8917.655999999999</v>
      </c>
    </row>
    <row r="4015" spans="1:4">
      <c r="A4015" t="str">
        <f>"32202-B950A"</f>
        <v>32202-B950A</v>
      </c>
      <c r="B4015" t="str">
        <f>"Втулка коленвала"</f>
        <v>Втулка коленвала</v>
      </c>
      <c r="C4015">
        <v>0</v>
      </c>
      <c r="D4015">
        <v>84.048000000000002</v>
      </c>
    </row>
    <row r="4016" spans="1:4">
      <c r="A4016" t="str">
        <f>"32203-00Q0A"</f>
        <v>32203-00Q0A</v>
      </c>
      <c r="B4016" t="str">
        <f>"Подшипник вала"</f>
        <v>Подшипник вала</v>
      </c>
      <c r="C4016">
        <v>0</v>
      </c>
      <c r="D4016">
        <v>571.60799999999995</v>
      </c>
    </row>
    <row r="4017" spans="1:4">
      <c r="A4017" t="str">
        <f>"32203-00QAH"</f>
        <v>32203-00QAH</v>
      </c>
      <c r="B4017" t="str">
        <f>"BEARING-INPUT G"</f>
        <v>BEARING-INPUT G</v>
      </c>
      <c r="C4017">
        <v>7</v>
      </c>
      <c r="D4017">
        <v>874.34399999999994</v>
      </c>
    </row>
    <row r="4018" spans="1:4">
      <c r="A4018" t="str">
        <f>"32203-03E00"</f>
        <v>32203-03E00</v>
      </c>
      <c r="B4018" t="str">
        <f>"BEARING-INPUT S"</f>
        <v>BEARING-INPUT S</v>
      </c>
      <c r="C4018">
        <v>29</v>
      </c>
      <c r="D4018">
        <v>655.65599999999995</v>
      </c>
    </row>
    <row r="4019" spans="1:4">
      <c r="A4019" t="str">
        <f>"32203-03E13"</f>
        <v>32203-03E13</v>
      </c>
      <c r="B4019" t="str">
        <f>"BEARING-INPUT S"</f>
        <v>BEARING-INPUT S</v>
      </c>
      <c r="C4019">
        <v>24</v>
      </c>
      <c r="D4019">
        <v>1076.3039999999999</v>
      </c>
    </row>
    <row r="4020" spans="1:4">
      <c r="A4020" t="str">
        <f>"32203-69F70"</f>
        <v>32203-69F70</v>
      </c>
      <c r="B4020" t="str">
        <f>"BEARING BALL"</f>
        <v>BEARING BALL</v>
      </c>
      <c r="C4020">
        <v>8</v>
      </c>
      <c r="D4020">
        <v>1136.28</v>
      </c>
    </row>
    <row r="4021" spans="1:4">
      <c r="A4021" t="str">
        <f>"32203-6J001"</f>
        <v>32203-6J001</v>
      </c>
      <c r="B4021" t="str">
        <f>"BEARING-INPUT S"</f>
        <v>BEARING-INPUT S</v>
      </c>
      <c r="C4021">
        <v>10</v>
      </c>
      <c r="D4021">
        <v>626.28</v>
      </c>
    </row>
    <row r="4022" spans="1:4">
      <c r="A4022" t="str">
        <f>"32203-8H50A"</f>
        <v>32203-8H50A</v>
      </c>
      <c r="B4022" t="str">
        <f>"Подшипник КПП"</f>
        <v>Подшипник КПП</v>
      </c>
      <c r="C4022">
        <v>2</v>
      </c>
      <c r="D4022">
        <v>977.15999999999985</v>
      </c>
    </row>
    <row r="4023" spans="1:4">
      <c r="A4023" t="str">
        <f>"32203-G2301"</f>
        <v>32203-G2301</v>
      </c>
      <c r="B4023" t="str">
        <f>"BEARING-MAIN DR"</f>
        <v>BEARING-MAIN DR</v>
      </c>
      <c r="C4023">
        <v>6</v>
      </c>
      <c r="D4023">
        <v>1654.848</v>
      </c>
    </row>
    <row r="4024" spans="1:4">
      <c r="A4024" t="str">
        <f>"32203-M8000"</f>
        <v>32203-M8000</v>
      </c>
      <c r="B4024" t="str">
        <f>"BEARING-INPUT S"</f>
        <v>BEARING-INPUT S</v>
      </c>
      <c r="C4024">
        <v>29</v>
      </c>
      <c r="D4024">
        <v>655.24799999999993</v>
      </c>
    </row>
    <row r="4025" spans="1:4">
      <c r="A4025" t="str">
        <f>"32203-V5201"</f>
        <v>32203-V5201</v>
      </c>
      <c r="B4025" t="str">
        <f>"BEARING BALL"</f>
        <v>BEARING BALL</v>
      </c>
      <c r="C4025">
        <v>11</v>
      </c>
      <c r="D4025">
        <v>476.95199999999994</v>
      </c>
    </row>
    <row r="4026" spans="1:4">
      <c r="A4026" t="str">
        <f>"32203-VB01A"</f>
        <v>32203-VB01A</v>
      </c>
      <c r="B4026" t="str">
        <f>"Подшипник вала К"</f>
        <v>Подшипник вала К</v>
      </c>
      <c r="C4026">
        <v>4</v>
      </c>
      <c r="D4026">
        <v>1526.7359999999999</v>
      </c>
    </row>
    <row r="4027" spans="1:4">
      <c r="A4027" t="str">
        <f>"32219-01G10"</f>
        <v>32219-01G10</v>
      </c>
      <c r="B4027" t="str">
        <f>"BEARING-COUNTER"</f>
        <v>BEARING-COUNTER</v>
      </c>
      <c r="C4027">
        <v>13</v>
      </c>
      <c r="D4027">
        <v>678.50399999999991</v>
      </c>
    </row>
    <row r="4028" spans="1:4">
      <c r="A4028" t="str">
        <f>"32219-4M402"</f>
        <v>32219-4M402</v>
      </c>
      <c r="B4028" t="str">
        <f>"BEARING-MAIN"</f>
        <v>BEARING-MAIN</v>
      </c>
      <c r="C4028">
        <v>0</v>
      </c>
      <c r="D4028">
        <v>681.3599999999999</v>
      </c>
    </row>
    <row r="4029" spans="1:4">
      <c r="A4029" t="str">
        <f>"32219-50J00"</f>
        <v>32219-50J00</v>
      </c>
      <c r="B4029" t="str">
        <f>"BEARING-MAIN SH"</f>
        <v>BEARING-MAIN SH</v>
      </c>
      <c r="C4029">
        <v>4</v>
      </c>
      <c r="D4029">
        <v>913.10399999999993</v>
      </c>
    </row>
    <row r="4030" spans="1:4">
      <c r="A4030" t="str">
        <f>"32219-62Y12"</f>
        <v>32219-62Y12</v>
      </c>
      <c r="B4030" t="str">
        <f>"BEARING NEEDLE"</f>
        <v>BEARING NEEDLE</v>
      </c>
      <c r="C4030">
        <v>14</v>
      </c>
      <c r="D4030">
        <v>915.95999999999992</v>
      </c>
    </row>
    <row r="4031" spans="1:4">
      <c r="A4031" t="str">
        <f>"32219-6J000"</f>
        <v>32219-6J000</v>
      </c>
      <c r="B4031" t="str">
        <f>"BEARING-MAIN"</f>
        <v>BEARING-MAIN</v>
      </c>
      <c r="C4031">
        <v>17</v>
      </c>
      <c r="D4031">
        <v>752.75999999999988</v>
      </c>
    </row>
    <row r="4032" spans="1:4">
      <c r="A4032" t="str">
        <f>"32219-86W70"</f>
        <v>32219-86W70</v>
      </c>
      <c r="B4032" t="str">
        <f>"BEARING-COUNTER"</f>
        <v>BEARING-COUNTER</v>
      </c>
      <c r="C4032">
        <v>7</v>
      </c>
      <c r="D4032">
        <v>714</v>
      </c>
    </row>
    <row r="4033" spans="1:4">
      <c r="A4033" t="str">
        <f>"32219-AX000"</f>
        <v>32219-AX000</v>
      </c>
      <c r="B4033" t="str">
        <f>"BEARING-COUNTER"</f>
        <v>BEARING-COUNTER</v>
      </c>
      <c r="C4033">
        <v>0</v>
      </c>
      <c r="D4033">
        <v>880.05599999999993</v>
      </c>
    </row>
    <row r="4034" spans="1:4">
      <c r="A4034" t="str">
        <f>"32219-E9020"</f>
        <v>32219-E9020</v>
      </c>
      <c r="B4034" t="str">
        <f>"BEARING-COUNTER"</f>
        <v>BEARING-COUNTER</v>
      </c>
      <c r="C4034">
        <v>7</v>
      </c>
      <c r="D4034">
        <v>675.24</v>
      </c>
    </row>
    <row r="4035" spans="1:4">
      <c r="A4035" t="str">
        <f>"32219-V5260"</f>
        <v>32219-V5260</v>
      </c>
      <c r="B4035" t="str">
        <f>"BEARING-COUNTER"</f>
        <v>BEARING-COUNTER</v>
      </c>
      <c r="C4035">
        <v>6</v>
      </c>
      <c r="D4035">
        <v>704.61599999999987</v>
      </c>
    </row>
    <row r="4036" spans="1:4">
      <c r="A4036" t="str">
        <f>"32223-50J00"</f>
        <v>32223-50J00</v>
      </c>
      <c r="B4036" t="str">
        <f>"BEARING-TAPER"</f>
        <v>BEARING-TAPER</v>
      </c>
      <c r="C4036">
        <v>3</v>
      </c>
      <c r="D4036">
        <v>896.37599999999998</v>
      </c>
    </row>
    <row r="4037" spans="1:4">
      <c r="A4037" t="str">
        <f>"32223-59Y00"</f>
        <v>32223-59Y00</v>
      </c>
      <c r="B4037" t="str">
        <f>"BEARING"</f>
        <v>BEARING</v>
      </c>
      <c r="C4037">
        <v>18</v>
      </c>
      <c r="D4037">
        <v>686.25599999999997</v>
      </c>
    </row>
    <row r="4038" spans="1:4">
      <c r="A4038" t="str">
        <f>"32223-62Y02"</f>
        <v>32223-62Y02</v>
      </c>
      <c r="B4038" t="str">
        <f>"BEARING"</f>
        <v>BEARING</v>
      </c>
      <c r="C4038">
        <v>13</v>
      </c>
      <c r="D4038">
        <v>748.68</v>
      </c>
    </row>
    <row r="4039" spans="1:4">
      <c r="A4039" t="str">
        <f>"32223-6J001"</f>
        <v>32223-6J001</v>
      </c>
      <c r="B4039" t="str">
        <f>"BEARING-MAIN"</f>
        <v>BEARING-MAIN</v>
      </c>
      <c r="C4039">
        <v>6</v>
      </c>
      <c r="D4039">
        <v>923.71199999999999</v>
      </c>
    </row>
    <row r="4040" spans="1:4">
      <c r="A4040" t="str">
        <f>"32223-79E62"</f>
        <v>32223-79E62</v>
      </c>
      <c r="B4040" t="str">
        <f>"BEARING NEEDLE"</f>
        <v>BEARING NEEDLE</v>
      </c>
      <c r="C4040">
        <v>9</v>
      </c>
      <c r="D4040">
        <v>719.30399999999997</v>
      </c>
    </row>
    <row r="4041" spans="1:4">
      <c r="A4041" t="str">
        <f>"32223-VC21A"</f>
        <v>32223-VC21A</v>
      </c>
      <c r="B4041" t="str">
        <f>"Подшипник вала КПП 1"</f>
        <v>Подшипник вала КПП 1</v>
      </c>
      <c r="C4041">
        <v>2</v>
      </c>
      <c r="D4041">
        <v>1567.1279999999999</v>
      </c>
    </row>
    <row r="4042" spans="1:4">
      <c r="A4042" t="str">
        <f>"32231-01G74"</f>
        <v>32231-01G74</v>
      </c>
      <c r="B4042" t="str">
        <f>"GEAR 1ST SPEED"</f>
        <v>GEAR 1ST SPEED</v>
      </c>
      <c r="C4042">
        <v>5</v>
      </c>
      <c r="D4042">
        <v>5891.1120000000001</v>
      </c>
    </row>
    <row r="4043" spans="1:4">
      <c r="A4043" t="str">
        <f>"32231-4M400"</f>
        <v>32231-4M400</v>
      </c>
      <c r="B4043" t="str">
        <f>"GEAR 1ST SPEED"</f>
        <v>GEAR 1ST SPEED</v>
      </c>
      <c r="C4043">
        <v>6</v>
      </c>
      <c r="D4043">
        <v>5166.9120000000003</v>
      </c>
    </row>
    <row r="4044" spans="1:4">
      <c r="A4044" t="str">
        <f>"32241-00Q0A"</f>
        <v>32241-00Q0A</v>
      </c>
      <c r="B4044" t="str">
        <f>"Вал КПП первичны"</f>
        <v>Вал КПП первичны</v>
      </c>
      <c r="C4044">
        <v>1</v>
      </c>
      <c r="D4044">
        <v>7869.0959999999995</v>
      </c>
    </row>
    <row r="4045" spans="1:4">
      <c r="A4045" t="str">
        <f>"32241-4M408"</f>
        <v>32241-4M408</v>
      </c>
      <c r="B4045" t="str">
        <f>"SHAFT-MAIN"</f>
        <v>SHAFT-MAIN</v>
      </c>
      <c r="C4045">
        <v>8</v>
      </c>
      <c r="D4045">
        <v>7554.12</v>
      </c>
    </row>
    <row r="4046" spans="1:4">
      <c r="A4046" t="str">
        <f>"32241-50Y16"</f>
        <v>32241-50Y16</v>
      </c>
      <c r="B4046" t="str">
        <f>"Вал КПП"</f>
        <v>Вал КПП</v>
      </c>
      <c r="C4046">
        <v>6</v>
      </c>
      <c r="D4046">
        <v>8565.1440000000002</v>
      </c>
    </row>
    <row r="4047" spans="1:4">
      <c r="A4047" t="str">
        <f>"32241-59Y16"</f>
        <v>32241-59Y16</v>
      </c>
      <c r="B4047" t="str">
        <f>"SHAFT MAIN"</f>
        <v>SHAFT MAIN</v>
      </c>
      <c r="C4047">
        <v>0</v>
      </c>
      <c r="D4047">
        <v>8565.1440000000002</v>
      </c>
    </row>
    <row r="4048" spans="1:4">
      <c r="A4048" t="str">
        <f>"32248-01G00"</f>
        <v>32248-01G00</v>
      </c>
      <c r="B4048" t="str">
        <f>"BEARING-NEEDLE"</f>
        <v>BEARING-NEEDLE</v>
      </c>
      <c r="C4048">
        <v>4</v>
      </c>
      <c r="D4048">
        <v>243.98399999999998</v>
      </c>
    </row>
    <row r="4049" spans="1:4">
      <c r="A4049" t="str">
        <f>"32261-57G15"</f>
        <v>32261-57G15</v>
      </c>
      <c r="B4049" t="str">
        <f>"A GEAR 3RD M/S"</f>
        <v>A GEAR 3RD M/S</v>
      </c>
      <c r="C4049">
        <v>1</v>
      </c>
      <c r="D4049">
        <v>5088.1680000000006</v>
      </c>
    </row>
    <row r="4050" spans="1:4">
      <c r="A4050" t="str">
        <f>"32264-01G00"</f>
        <v>32264-01G00</v>
      </c>
      <c r="B4050" t="str">
        <f>"BEARING-NEEDLE"</f>
        <v>BEARING-NEEDLE</v>
      </c>
      <c r="C4050">
        <v>4</v>
      </c>
      <c r="D4050">
        <v>488.78399999999999</v>
      </c>
    </row>
    <row r="4051" spans="1:4">
      <c r="A4051" t="str">
        <f>"32264-21P00"</f>
        <v>32264-21P00</v>
      </c>
      <c r="B4051" t="str">
        <f>"BEARING-NEEDLE,"</f>
        <v>BEARING-NEEDLE,</v>
      </c>
      <c r="C4051">
        <v>0</v>
      </c>
      <c r="D4051">
        <v>485.11199999999997</v>
      </c>
    </row>
    <row r="4052" spans="1:4">
      <c r="A4052" t="str">
        <f>"32264-62Y00"</f>
        <v>32264-62Y00</v>
      </c>
      <c r="B4052" t="str">
        <f>"BEARING-NEEDLE"</f>
        <v>BEARING-NEEDLE</v>
      </c>
      <c r="C4052">
        <v>0</v>
      </c>
      <c r="D4052">
        <v>456.55199999999996</v>
      </c>
    </row>
    <row r="4053" spans="1:4">
      <c r="A4053" t="str">
        <f>"32264-62Y02"</f>
        <v>32264-62Y02</v>
      </c>
      <c r="B4053" t="str">
        <f>"BEARING-NEEDLE"</f>
        <v>BEARING-NEEDLE</v>
      </c>
      <c r="C4053">
        <v>5</v>
      </c>
      <c r="D4053">
        <v>445.12799999999999</v>
      </c>
    </row>
    <row r="4054" spans="1:4">
      <c r="A4054" t="str">
        <f>"32264-70E00"</f>
        <v>32264-70E00</v>
      </c>
      <c r="B4054" t="str">
        <f>"BEARING-NEEDLE"</f>
        <v>BEARING-NEEDLE</v>
      </c>
      <c r="C4054">
        <v>26</v>
      </c>
      <c r="D4054">
        <v>456.55199999999996</v>
      </c>
    </row>
    <row r="4055" spans="1:4">
      <c r="A4055" t="str">
        <f>"32272-01G00"</f>
        <v>32272-01G00</v>
      </c>
      <c r="B4055" t="str">
        <f>"BRG MAIN SHAFT"</f>
        <v>BRG MAIN SHAFT</v>
      </c>
      <c r="C4055">
        <v>5</v>
      </c>
      <c r="D4055">
        <v>197.47200000000001</v>
      </c>
    </row>
    <row r="4056" spans="1:4">
      <c r="A4056" t="str">
        <f>"32272-36910"</f>
        <v>32272-36910</v>
      </c>
      <c r="B4056" t="str">
        <f>"BRG MAIN SHAFT"</f>
        <v>BRG MAIN SHAFT</v>
      </c>
      <c r="C4056">
        <v>19</v>
      </c>
      <c r="D4056">
        <v>417.38399999999996</v>
      </c>
    </row>
    <row r="4057" spans="1:4">
      <c r="A4057" t="str">
        <f>"32272-36960"</f>
        <v>32272-36960</v>
      </c>
      <c r="B4057" t="str">
        <f>"BRG MAIN SHAFT"</f>
        <v>BRG MAIN SHAFT</v>
      </c>
      <c r="C4057">
        <v>3</v>
      </c>
      <c r="D4057">
        <v>423.91199999999998</v>
      </c>
    </row>
    <row r="4058" spans="1:4">
      <c r="A4058" t="str">
        <f>"32273-50J00"</f>
        <v>32273-50J00</v>
      </c>
      <c r="B4058" t="str">
        <f>"BEARING-NEEDLE"</f>
        <v>BEARING-NEEDLE</v>
      </c>
      <c r="C4058">
        <v>2</v>
      </c>
      <c r="D4058">
        <v>631.17600000000004</v>
      </c>
    </row>
    <row r="4059" spans="1:4">
      <c r="A4059" t="str">
        <f>"32273-62Y00"</f>
        <v>32273-62Y00</v>
      </c>
      <c r="B4059" t="str">
        <f>"BEARING-NEEDLE"</f>
        <v>BEARING-NEEDLE</v>
      </c>
      <c r="C4059">
        <v>19</v>
      </c>
      <c r="D4059">
        <v>640.15200000000004</v>
      </c>
    </row>
    <row r="4060" spans="1:4">
      <c r="A4060" t="str">
        <f>"32273-79E00"</f>
        <v>32273-79E00</v>
      </c>
      <c r="B4060" t="str">
        <f>"BRG MAIN SHAFT"</f>
        <v>BRG MAIN SHAFT</v>
      </c>
      <c r="C4060">
        <v>4</v>
      </c>
      <c r="D4060">
        <v>645.04799999999989</v>
      </c>
    </row>
    <row r="4061" spans="1:4">
      <c r="A4061" t="str">
        <f>"32273-86W70"</f>
        <v>32273-86W70</v>
      </c>
      <c r="B4061" t="str">
        <f>"A BERG DIFF"</f>
        <v>A BERG DIFF</v>
      </c>
      <c r="C4061">
        <v>18</v>
      </c>
      <c r="D4061">
        <v>1205.6400000000001</v>
      </c>
    </row>
    <row r="4062" spans="1:4">
      <c r="A4062" t="str">
        <f>"32273-T6420"</f>
        <v>32273-T6420</v>
      </c>
      <c r="B4062" t="str">
        <f>"BRG MAIN SHAFT"</f>
        <v>BRG MAIN SHAFT</v>
      </c>
      <c r="C4062">
        <v>3</v>
      </c>
      <c r="D4062">
        <v>1174.2239999999999</v>
      </c>
    </row>
    <row r="4063" spans="1:4">
      <c r="A4063" t="str">
        <f>"32275-4M401"</f>
        <v>32275-4M401</v>
      </c>
      <c r="B4063" t="str">
        <f>"BEARING-INPUT"</f>
        <v>BEARING-INPUT</v>
      </c>
      <c r="C4063">
        <v>34</v>
      </c>
      <c r="D4063">
        <v>536.11199999999997</v>
      </c>
    </row>
    <row r="4064" spans="1:4">
      <c r="A4064" t="str">
        <f>"32275-6J010"</f>
        <v>32275-6J010</v>
      </c>
      <c r="B4064" t="str">
        <f>"BEARING-INPUT"</f>
        <v>BEARING-INPUT</v>
      </c>
      <c r="C4064">
        <v>17</v>
      </c>
      <c r="D4064">
        <v>590.37599999999998</v>
      </c>
    </row>
    <row r="4065" spans="1:4">
      <c r="A4065" t="str">
        <f>"32280-4M400"</f>
        <v>32280-4M400</v>
      </c>
      <c r="B4065" t="str">
        <f>"GEAR-REVERSE"</f>
        <v>GEAR-REVERSE</v>
      </c>
      <c r="C4065">
        <v>0</v>
      </c>
      <c r="D4065">
        <v>2385.1680000000001</v>
      </c>
    </row>
    <row r="4066" spans="1:4">
      <c r="A4066" t="str">
        <f>"32310-D0211"</f>
        <v>32310-D0211</v>
      </c>
      <c r="B4066" t="str">
        <f>"GEAR ASSY-OVERD"</f>
        <v>GEAR ASSY-OVERD</v>
      </c>
      <c r="C4066">
        <v>12</v>
      </c>
      <c r="D4066">
        <v>5630.4</v>
      </c>
    </row>
    <row r="4067" spans="1:4">
      <c r="A4067" t="str">
        <f>"32312-69Y00"</f>
        <v>32312-69Y00</v>
      </c>
      <c r="B4067" t="str">
        <f>"GEAR ASSY-OVERD"</f>
        <v>GEAR ASSY-OVERD</v>
      </c>
      <c r="C4067">
        <v>10</v>
      </c>
      <c r="D4067">
        <v>5443.1279999999997</v>
      </c>
    </row>
    <row r="4068" spans="1:4">
      <c r="A4068" t="str">
        <f>"32312-VB304"</f>
        <v>32312-VB304</v>
      </c>
      <c r="B4068" t="str">
        <f>"GEAR-OVERDRIVE"</f>
        <v>GEAR-OVERDRIVE</v>
      </c>
      <c r="C4068">
        <v>1</v>
      </c>
      <c r="D4068">
        <v>4896</v>
      </c>
    </row>
    <row r="4069" spans="1:4">
      <c r="A4069" t="str">
        <f>"32319-80G00"</f>
        <v>32319-80G00</v>
      </c>
      <c r="B4069" t="str">
        <f>"BEARING-COUNTER"</f>
        <v>BEARING-COUNTER</v>
      </c>
      <c r="C4069">
        <v>4</v>
      </c>
      <c r="D4069">
        <v>741.74400000000003</v>
      </c>
    </row>
    <row r="4070" spans="1:4">
      <c r="A4070" t="str">
        <f>"32319-N4860"</f>
        <v>32319-N4860</v>
      </c>
      <c r="B4070" t="str">
        <f>"Подшипник вала КПП 4"</f>
        <v>Подшипник вала КПП 4</v>
      </c>
      <c r="C4070">
        <v>0</v>
      </c>
      <c r="D4070">
        <v>479.4</v>
      </c>
    </row>
    <row r="4071" spans="1:4">
      <c r="A4071" t="str">
        <f>"32319-N4870"</f>
        <v>32319-N4870</v>
      </c>
      <c r="B4071" t="str">
        <f>"BEARING-COUNTER"</f>
        <v>BEARING-COUNTER</v>
      </c>
      <c r="C4071">
        <v>3</v>
      </c>
      <c r="D4071">
        <v>479.4</v>
      </c>
    </row>
    <row r="4072" spans="1:4">
      <c r="A4072" t="str">
        <f>"32348-50J02"</f>
        <v>32348-50J02</v>
      </c>
      <c r="B4072" t="str">
        <f>"RING-SNAP"</f>
        <v>RING-SNAP</v>
      </c>
      <c r="C4072">
        <v>2</v>
      </c>
      <c r="D4072">
        <v>53.04</v>
      </c>
    </row>
    <row r="4073" spans="1:4">
      <c r="A4073" t="str">
        <f>"32350-50F00"</f>
        <v>32350-50F00</v>
      </c>
      <c r="B4073" t="str">
        <f>"BEARING NEEDLE"</f>
        <v>BEARING NEEDLE</v>
      </c>
      <c r="C4073">
        <v>15</v>
      </c>
      <c r="D4073">
        <v>258.67199999999997</v>
      </c>
    </row>
    <row r="4074" spans="1:4">
      <c r="A4074" t="str">
        <f>"32354-E9803"</f>
        <v>32354-E9803</v>
      </c>
      <c r="B4074" t="str">
        <f>"NUT HEX M27X1.0"</f>
        <v>NUT HEX M27X1.0</v>
      </c>
      <c r="C4074">
        <v>2</v>
      </c>
      <c r="D4074">
        <v>196.24799999999999</v>
      </c>
    </row>
    <row r="4075" spans="1:4">
      <c r="A4075" t="str">
        <f>"32516-80G01"</f>
        <v>32516-80G01</v>
      </c>
      <c r="B4075" t="str">
        <f>"GASKET-SHIFT CO"</f>
        <v>GASKET-SHIFT CO</v>
      </c>
      <c r="C4075">
        <v>1</v>
      </c>
      <c r="D4075">
        <v>216.23999999999998</v>
      </c>
    </row>
    <row r="4076" spans="1:4">
      <c r="A4076" t="str">
        <f>"32600-4M400"</f>
        <v>32600-4M400</v>
      </c>
      <c r="B4076" t="str">
        <f>"GEAR SET"</f>
        <v>GEAR SET</v>
      </c>
      <c r="C4076">
        <v>4</v>
      </c>
      <c r="D4076">
        <v>4100.3999999999996</v>
      </c>
    </row>
    <row r="4077" spans="1:4">
      <c r="A4077" t="str">
        <f>"32603-18000"</f>
        <v>32603-18000</v>
      </c>
      <c r="B4077" t="str">
        <f>"SPRING SYNCHRO"</f>
        <v>SPRING SYNCHRO</v>
      </c>
      <c r="C4077">
        <v>7</v>
      </c>
      <c r="D4077">
        <v>31.415999999999997</v>
      </c>
    </row>
    <row r="4078" spans="1:4">
      <c r="A4078" t="str">
        <f>"32603-30P00"</f>
        <v>32603-30P00</v>
      </c>
      <c r="B4078" t="str">
        <f>"SPRING-SHIFTING"</f>
        <v>SPRING-SHIFTING</v>
      </c>
      <c r="C4078">
        <v>2</v>
      </c>
      <c r="D4078">
        <v>122.39999999999999</v>
      </c>
    </row>
    <row r="4079" spans="1:4">
      <c r="A4079" t="str">
        <f>"32603-73200"</f>
        <v>32603-73200</v>
      </c>
      <c r="B4079" t="str">
        <f>"SPRING"</f>
        <v>SPRING</v>
      </c>
      <c r="C4079">
        <v>6</v>
      </c>
      <c r="D4079">
        <v>31.823999999999998</v>
      </c>
    </row>
    <row r="4080" spans="1:4">
      <c r="A4080" t="str">
        <f>"32604-30P61"</f>
        <v>32604-30P61</v>
      </c>
      <c r="B4080" t="str">
        <f>"RING-BAULK"</f>
        <v>RING-BAULK</v>
      </c>
      <c r="C4080">
        <v>5</v>
      </c>
      <c r="D4080">
        <v>1301.9280000000001</v>
      </c>
    </row>
    <row r="4081" spans="1:4">
      <c r="A4081" t="str">
        <f>"32604-4M400"</f>
        <v>32604-4M400</v>
      </c>
      <c r="B4081" t="str">
        <f>"RING-BAULK"</f>
        <v>RING-BAULK</v>
      </c>
      <c r="C4081">
        <v>27</v>
      </c>
      <c r="D4081">
        <v>1284.3839999999998</v>
      </c>
    </row>
    <row r="4082" spans="1:4">
      <c r="A4082" t="str">
        <f>"32604-70L15"</f>
        <v>32604-70L15</v>
      </c>
      <c r="B4082" t="str">
        <f>"RING BAULK"</f>
        <v>RING BAULK</v>
      </c>
      <c r="C4082">
        <v>4</v>
      </c>
      <c r="D4082">
        <v>1229.3040000000001</v>
      </c>
    </row>
    <row r="4083" spans="1:4">
      <c r="A4083" t="str">
        <f>"32607-M8012"</f>
        <v>32607-M8012</v>
      </c>
      <c r="B4083" t="str">
        <f>"RING-BAULK"</f>
        <v>RING-BAULK</v>
      </c>
      <c r="C4083">
        <v>20</v>
      </c>
      <c r="D4083">
        <v>1206.048</v>
      </c>
    </row>
    <row r="4084" spans="1:4">
      <c r="A4084" t="str">
        <f>"32609-00QAB"</f>
        <v>32609-00QAB</v>
      </c>
      <c r="B4084" t="str">
        <f>"Шпонка фиксатор шест"</f>
        <v>Шпонка фиксатор шест</v>
      </c>
      <c r="C4084">
        <v>1</v>
      </c>
      <c r="D4084">
        <v>48.959999999999994</v>
      </c>
    </row>
    <row r="4085" spans="1:4">
      <c r="A4085" t="str">
        <f>"32609-23P00"</f>
        <v>32609-23P00</v>
      </c>
      <c r="B4085" t="str">
        <f>"INSERT SHIFTING"</f>
        <v>INSERT SHIFTING</v>
      </c>
      <c r="C4085">
        <v>0</v>
      </c>
      <c r="D4085">
        <v>49.368000000000002</v>
      </c>
    </row>
    <row r="4086" spans="1:4">
      <c r="A4086" t="str">
        <f>"32609-30P00"</f>
        <v>32609-30P00</v>
      </c>
      <c r="B4086" t="str">
        <f>"INSERT-SHIFTING"</f>
        <v>INSERT-SHIFTING</v>
      </c>
      <c r="C4086">
        <v>5</v>
      </c>
      <c r="D4086">
        <v>141.16800000000001</v>
      </c>
    </row>
    <row r="4087" spans="1:4">
      <c r="A4087" t="str">
        <f>"32609-70L00"</f>
        <v>32609-70L00</v>
      </c>
      <c r="B4087" t="str">
        <f>"INSERT-SHIFTING"</f>
        <v>INSERT-SHIFTING</v>
      </c>
      <c r="C4087">
        <v>7</v>
      </c>
      <c r="D4087">
        <v>48.959999999999994</v>
      </c>
    </row>
    <row r="4088" spans="1:4">
      <c r="A4088" t="str">
        <f>"32609-M8001"</f>
        <v>32609-M8001</v>
      </c>
      <c r="B4088" t="str">
        <f>"INSERT SHIFTING"</f>
        <v>INSERT SHIFTING</v>
      </c>
      <c r="C4088">
        <v>1</v>
      </c>
      <c r="D4088">
        <v>51.815999999999995</v>
      </c>
    </row>
    <row r="4089" spans="1:4">
      <c r="A4089" t="str">
        <f>"32610-M8012"</f>
        <v>32610-M8012</v>
      </c>
      <c r="B4089" t="str">
        <f>"SLEEVE &amp; HUB"</f>
        <v>SLEEVE &amp; HUB</v>
      </c>
      <c r="C4089">
        <v>37</v>
      </c>
      <c r="D4089">
        <v>2563.056</v>
      </c>
    </row>
    <row r="4090" spans="1:4">
      <c r="A4090" t="str">
        <f>"32701-01M00"</f>
        <v>32701-01M00</v>
      </c>
      <c r="B4090" t="str">
        <f>"GEAR-SPEEDMETER"</f>
        <v>GEAR-SPEEDMETER</v>
      </c>
      <c r="C4090">
        <v>0</v>
      </c>
      <c r="D4090">
        <v>657.28800000000001</v>
      </c>
    </row>
    <row r="4091" spans="1:4">
      <c r="A4091" t="str">
        <f>"32701-03E01"</f>
        <v>32701-03E01</v>
      </c>
      <c r="B4091" t="str">
        <f>"GEAR-DRIVE SPEE"</f>
        <v>GEAR-DRIVE SPEE</v>
      </c>
      <c r="C4091">
        <v>2</v>
      </c>
      <c r="D4091">
        <v>625.05599999999993</v>
      </c>
    </row>
    <row r="4092" spans="1:4">
      <c r="A4092" t="str">
        <f>"32702-33G19"</f>
        <v>32702-33G19</v>
      </c>
      <c r="B4092" t="str">
        <f>"PINION ASSY-SPE"</f>
        <v>PINION ASSY-SPE</v>
      </c>
      <c r="C4092">
        <v>8</v>
      </c>
      <c r="D4092">
        <v>1097.1119999999999</v>
      </c>
    </row>
    <row r="4093" spans="1:4">
      <c r="A4093" t="str">
        <f>"32702-5J004"</f>
        <v>32702-5J004</v>
      </c>
      <c r="B4093" t="str">
        <f>"PINION ASSY-SPE"</f>
        <v>PINION ASSY-SPE</v>
      </c>
      <c r="C4093">
        <v>7</v>
      </c>
      <c r="D4093">
        <v>1294.992</v>
      </c>
    </row>
    <row r="4094" spans="1:4">
      <c r="A4094" t="str">
        <f>"32707-2Y00A"</f>
        <v>32707-2Y00A</v>
      </c>
      <c r="B4094" t="str">
        <f>"Заглушка отверстия К"</f>
        <v>Заглушка отверстия К</v>
      </c>
      <c r="C4094">
        <v>31</v>
      </c>
      <c r="D4094">
        <v>568.75199999999995</v>
      </c>
    </row>
    <row r="4095" spans="1:4">
      <c r="A4095" t="str">
        <f>"32743-74P19"</f>
        <v>32743-74P19</v>
      </c>
      <c r="B4095" t="str">
        <f>"PINION SPEEDO"</f>
        <v>PINION SPEEDO</v>
      </c>
      <c r="C4095">
        <v>5</v>
      </c>
      <c r="D4095">
        <v>591.19200000000001</v>
      </c>
    </row>
    <row r="4096" spans="1:4">
      <c r="A4096" t="str">
        <f>"32858-03E00"</f>
        <v>32858-03E00</v>
      </c>
      <c r="B4096" t="str">
        <f>"SEAL-OIL"</f>
        <v>SEAL-OIL</v>
      </c>
      <c r="C4096">
        <v>8</v>
      </c>
      <c r="D4096">
        <v>160.75200000000001</v>
      </c>
    </row>
    <row r="4097" spans="1:4">
      <c r="A4097" t="str">
        <f>"32858-6J000"</f>
        <v>32858-6J000</v>
      </c>
      <c r="B4097" t="str">
        <f>"SEAL-OIL"</f>
        <v>SEAL-OIL</v>
      </c>
      <c r="C4097">
        <v>5</v>
      </c>
      <c r="D4097">
        <v>161.56799999999998</v>
      </c>
    </row>
    <row r="4098" spans="1:4">
      <c r="A4098" t="str">
        <f>"32858-M8001"</f>
        <v>32858-M8001</v>
      </c>
      <c r="B4098" t="str">
        <f>"SEAL-OIL"</f>
        <v>SEAL-OIL</v>
      </c>
      <c r="C4098">
        <v>14</v>
      </c>
      <c r="D4098">
        <v>222.36</v>
      </c>
    </row>
    <row r="4099" spans="1:4">
      <c r="A4099" t="str">
        <f>"32858-M8003"</f>
        <v>32858-M8003</v>
      </c>
      <c r="B4099" t="str">
        <f>"SEAL-OIL"</f>
        <v>SEAL-OIL</v>
      </c>
      <c r="C4099">
        <v>16</v>
      </c>
      <c r="D4099">
        <v>216.23999999999998</v>
      </c>
    </row>
    <row r="4100" spans="1:4">
      <c r="A4100" t="str">
        <f>"32859-M8002"</f>
        <v>32859-M8002</v>
      </c>
      <c r="B4100" t="str">
        <f>"BOOT-ROD STRIKI"</f>
        <v>BOOT-ROD STRIKI</v>
      </c>
      <c r="C4100">
        <v>8</v>
      </c>
      <c r="D4100">
        <v>74.664000000000001</v>
      </c>
    </row>
    <row r="4101" spans="1:4">
      <c r="A4101" t="str">
        <f>"32861-01G00"</f>
        <v>32861-01G00</v>
      </c>
      <c r="B4101" t="str">
        <f>"BUSH-CONTROL LE"</f>
        <v>BUSH-CONTROL LE</v>
      </c>
      <c r="C4101">
        <v>13</v>
      </c>
      <c r="D4101">
        <v>113.83199999999999</v>
      </c>
    </row>
    <row r="4102" spans="1:4">
      <c r="A4102" t="str">
        <f>"32862-05U00"</f>
        <v>32862-05U00</v>
      </c>
      <c r="B4102" t="str">
        <f>"ПЫЛЬНИК ТЯГИ"</f>
        <v>ПЫЛЬНИК ТЯГИ</v>
      </c>
      <c r="C4102">
        <v>0</v>
      </c>
      <c r="D4102">
        <v>200.328</v>
      </c>
    </row>
    <row r="4103" spans="1:4">
      <c r="A4103" t="str">
        <f>"32862-V5001"</f>
        <v>32862-V5001</v>
      </c>
      <c r="B4103" t="str">
        <f>"BOOT RUBBER C/L"</f>
        <v>BOOT RUBBER C/L</v>
      </c>
      <c r="C4103">
        <v>16</v>
      </c>
      <c r="D4103">
        <v>200.328</v>
      </c>
    </row>
    <row r="4104" spans="1:4">
      <c r="A4104" t="str">
        <f>"32862-V5002"</f>
        <v>32862-V5002</v>
      </c>
      <c r="B4104" t="str">
        <f>"BOOT RUBBER C/L"</f>
        <v>BOOT RUBBER C/L</v>
      </c>
      <c r="C4104">
        <v>5</v>
      </c>
      <c r="D4104">
        <v>195.83999999999997</v>
      </c>
    </row>
    <row r="4105" spans="1:4">
      <c r="A4105" t="str">
        <f>"32865-9F500"</f>
        <v>32865-9F500</v>
      </c>
      <c r="B4105" t="str">
        <f>"KNOB-CONTROL LE"</f>
        <v>KNOB-CONTROL LE</v>
      </c>
      <c r="C4105">
        <v>12</v>
      </c>
      <c r="D4105">
        <v>1285.2</v>
      </c>
    </row>
    <row r="4106" spans="1:4">
      <c r="A4106" t="str">
        <f>"32865-AU107"</f>
        <v>32865-AU107</v>
      </c>
      <c r="B4106" t="str">
        <f>"KNOB-CONTROL LE"</f>
        <v>KNOB-CONTROL LE</v>
      </c>
      <c r="C4106">
        <v>4</v>
      </c>
      <c r="D4106">
        <v>1521.0239999999999</v>
      </c>
    </row>
    <row r="4107" spans="1:4">
      <c r="A4107" t="str">
        <f>"32865-AU117"</f>
        <v>32865-AU117</v>
      </c>
      <c r="B4107" t="str">
        <f>"KNOB-CONTROL LE"</f>
        <v>KNOB-CONTROL LE</v>
      </c>
      <c r="C4107">
        <v>5</v>
      </c>
      <c r="D4107">
        <v>1674.4319999999998</v>
      </c>
    </row>
    <row r="4108" spans="1:4">
      <c r="A4108" t="str">
        <f>"33100-1CB0B"</f>
        <v>33100-1CB0B</v>
      </c>
      <c r="B4108" t="str">
        <f>"Раздаточная коро"</f>
        <v>Раздаточная коро</v>
      </c>
      <c r="C4108">
        <v>1</v>
      </c>
      <c r="D4108">
        <v>120751.272</v>
      </c>
    </row>
    <row r="4109" spans="1:4">
      <c r="A4109" t="str">
        <f>"33100-CA00B"</f>
        <v>33100-CA00B</v>
      </c>
      <c r="B4109" t="str">
        <f>"Раздаточная коро"</f>
        <v>Раздаточная коро</v>
      </c>
      <c r="C4109">
        <v>1</v>
      </c>
      <c r="D4109">
        <v>86450.711999999985</v>
      </c>
    </row>
    <row r="4110" spans="1:4">
      <c r="A4110" t="str">
        <f>"33100-CA00E"</f>
        <v>33100-CA00E</v>
      </c>
      <c r="B4110" t="str">
        <f>"Раздаточная коро"</f>
        <v>Раздаточная коро</v>
      </c>
      <c r="C4110">
        <v>2</v>
      </c>
      <c r="D4110">
        <v>86450.711999999985</v>
      </c>
    </row>
    <row r="4111" spans="1:4">
      <c r="A4111" t="str">
        <f>"33100-CN30A"</f>
        <v>33100-CN30A</v>
      </c>
      <c r="B4111" t="str">
        <f>"Раздаточная коро"</f>
        <v>Раздаточная коро</v>
      </c>
      <c r="C4111">
        <v>6</v>
      </c>
      <c r="D4111">
        <v>97297.8</v>
      </c>
    </row>
    <row r="4112" spans="1:4">
      <c r="A4112" t="str">
        <f>"33111-06R00"</f>
        <v>33111-06R00</v>
      </c>
      <c r="B4112" t="str">
        <f>"SEAL-OIL"</f>
        <v>SEAL-OIL</v>
      </c>
      <c r="C4112">
        <v>3</v>
      </c>
      <c r="D4112">
        <v>306.40800000000002</v>
      </c>
    </row>
    <row r="4113" spans="1:4">
      <c r="A4113" t="str">
        <f>"33111-56E00"</f>
        <v>33111-56E00</v>
      </c>
      <c r="B4113" t="str">
        <f>"SEAL-OIL"</f>
        <v>SEAL-OIL</v>
      </c>
      <c r="C4113">
        <v>3</v>
      </c>
      <c r="D4113">
        <v>326.80799999999994</v>
      </c>
    </row>
    <row r="4114" spans="1:4">
      <c r="A4114" t="str">
        <f>"33111-7S110"</f>
        <v>33111-7S110</v>
      </c>
      <c r="B4114" t="str">
        <f>"SEAL-OIL"</f>
        <v>SEAL-OIL</v>
      </c>
      <c r="C4114">
        <v>6</v>
      </c>
      <c r="D4114">
        <v>250.92</v>
      </c>
    </row>
    <row r="4115" spans="1:4">
      <c r="A4115" t="str">
        <f>"33111-AA400"</f>
        <v>33111-AA400</v>
      </c>
      <c r="B4115" t="str">
        <f>"SEAL-OIL,TRANSF"</f>
        <v>SEAL-OIL,TRANSF</v>
      </c>
      <c r="C4115">
        <v>3</v>
      </c>
      <c r="D4115">
        <v>545.49599999999998</v>
      </c>
    </row>
    <row r="4116" spans="1:4">
      <c r="A4116" t="str">
        <f>"33111-AD30A"</f>
        <v>33111-AD30A</v>
      </c>
      <c r="B4116" t="str">
        <f>"Сальник раздаточной "</f>
        <v xml:space="preserve">Сальник раздаточной </v>
      </c>
      <c r="C4116">
        <v>8</v>
      </c>
      <c r="D4116">
        <v>309.26400000000001</v>
      </c>
    </row>
    <row r="4117" spans="1:4">
      <c r="A4117" t="str">
        <f>"33111-EN100"</f>
        <v>33111-EN100</v>
      </c>
      <c r="B4117" t="str">
        <f>"Сальник раздаточной "</f>
        <v xml:space="preserve">Сальник раздаточной </v>
      </c>
      <c r="C4117">
        <v>2</v>
      </c>
      <c r="D4117">
        <v>321.50400000000002</v>
      </c>
    </row>
    <row r="4118" spans="1:4">
      <c r="A4118" t="str">
        <f>"33111-ZD30A"</f>
        <v>33111-ZD30A</v>
      </c>
      <c r="B4118" t="str">
        <f>"Сальник раздаточной "</f>
        <v xml:space="preserve">Сальник раздаточной </v>
      </c>
      <c r="C4118">
        <v>3</v>
      </c>
      <c r="D4118">
        <v>178.70399999999998</v>
      </c>
    </row>
    <row r="4119" spans="1:4">
      <c r="A4119" t="str">
        <f>"33114-AD300"</f>
        <v>33114-AD300</v>
      </c>
      <c r="B4119" t="str">
        <f>"SEAL-OIL,DRIVE"</f>
        <v>SEAL-OIL,DRIVE</v>
      </c>
      <c r="C4119">
        <v>35</v>
      </c>
      <c r="D4119">
        <v>316.2</v>
      </c>
    </row>
    <row r="4120" spans="1:4">
      <c r="A4120" t="str">
        <f>"33139-2W520"</f>
        <v>33139-2W520</v>
      </c>
      <c r="B4120" t="str">
        <f>"BEARING-EXTENSI"</f>
        <v>BEARING-EXTENSI</v>
      </c>
      <c r="C4120">
        <v>10</v>
      </c>
      <c r="D4120">
        <v>1025.3039999999999</v>
      </c>
    </row>
    <row r="4121" spans="1:4">
      <c r="A4121" t="str">
        <f>"33139-33G01"</f>
        <v>33139-33G01</v>
      </c>
      <c r="B4121" t="str">
        <f>"BEARING-MAIN,TR"</f>
        <v>BEARING-MAIN,TR</v>
      </c>
      <c r="C4121">
        <v>5</v>
      </c>
      <c r="D4121">
        <v>844.56</v>
      </c>
    </row>
    <row r="4122" spans="1:4">
      <c r="A4122" t="str">
        <f>"33139-8S010"</f>
        <v>33139-8S010</v>
      </c>
      <c r="B4122" t="str">
        <f>"Подшипник заднего ре"</f>
        <v>Подшипник заднего ре</v>
      </c>
      <c r="C4122">
        <v>2</v>
      </c>
      <c r="D4122">
        <v>1040.3999999999999</v>
      </c>
    </row>
    <row r="4123" spans="1:4">
      <c r="A4123" t="str">
        <f>"33140-7S110"</f>
        <v>33140-7S110</v>
      </c>
      <c r="B4123" t="str">
        <f>"SEAL-OIL,REAR E"</f>
        <v>SEAL-OIL,REAR E</v>
      </c>
      <c r="C4123">
        <v>20</v>
      </c>
      <c r="D4123">
        <v>533.66399999999999</v>
      </c>
    </row>
    <row r="4124" spans="1:4">
      <c r="A4124" t="str">
        <f>"33141-7S11A"</f>
        <v>33141-7S11A</v>
      </c>
      <c r="B4124" t="str">
        <f>"Крышка хвостовика КП"</f>
        <v>Крышка хвостовика КП</v>
      </c>
      <c r="C4124">
        <v>0</v>
      </c>
      <c r="D4124">
        <v>525.096</v>
      </c>
    </row>
    <row r="4125" spans="1:4">
      <c r="A4125" t="str">
        <f>"33142-01J10"</f>
        <v>33142-01J10</v>
      </c>
      <c r="B4125" t="str">
        <f>"SEAL OIL PINION"</f>
        <v>SEAL OIL PINION</v>
      </c>
      <c r="C4125">
        <v>3</v>
      </c>
      <c r="D4125">
        <v>551.20799999999997</v>
      </c>
    </row>
    <row r="4126" spans="1:4">
      <c r="A4126" t="str">
        <f>"33142-33G10"</f>
        <v>33142-33G10</v>
      </c>
      <c r="B4126" t="str">
        <f>"SEAL OIL PINION"</f>
        <v>SEAL OIL PINION</v>
      </c>
      <c r="C4126">
        <v>16</v>
      </c>
      <c r="D4126">
        <v>137.08799999999999</v>
      </c>
    </row>
    <row r="4127" spans="1:4">
      <c r="A4127" t="str">
        <f>"33142-4N200"</f>
        <v>33142-4N200</v>
      </c>
      <c r="B4127" t="str">
        <f>"SEAL OIL DRIVE"</f>
        <v>SEAL OIL DRIVE</v>
      </c>
      <c r="C4127">
        <v>25</v>
      </c>
      <c r="D4127">
        <v>359.85599999999999</v>
      </c>
    </row>
    <row r="4128" spans="1:4">
      <c r="A4128" t="str">
        <f>"33142-C6200"</f>
        <v>33142-C6200</v>
      </c>
      <c r="B4128" t="str">
        <f>"SEAL OIL DRIVE"</f>
        <v>SEAL OIL DRIVE</v>
      </c>
      <c r="C4128">
        <v>6</v>
      </c>
      <c r="D4128">
        <v>282.33600000000001</v>
      </c>
    </row>
    <row r="4129" spans="1:4">
      <c r="A4129" t="str">
        <f>"33185-C6200"</f>
        <v>33185-C6200</v>
      </c>
      <c r="B4129" t="str">
        <f>"SEAL-OIL SHIFT"</f>
        <v>SEAL-OIL SHIFT</v>
      </c>
      <c r="C4129">
        <v>0</v>
      </c>
      <c r="D4129">
        <v>212.56799999999998</v>
      </c>
    </row>
    <row r="4130" spans="1:4">
      <c r="A4130" t="str">
        <f>"33196-0W410"</f>
        <v>33196-0W410</v>
      </c>
      <c r="B4130" t="str">
        <f>"Сальник блока управл"</f>
        <v>Сальник блока управл</v>
      </c>
      <c r="C4130">
        <v>3</v>
      </c>
      <c r="D4130">
        <v>91.391999999999996</v>
      </c>
    </row>
    <row r="4131" spans="1:4">
      <c r="A4131" t="str">
        <f>"33210-7S11A"</f>
        <v>33210-7S11A</v>
      </c>
      <c r="B4131" t="str">
        <f>"Фланец раздаточной к"</f>
        <v>Фланец раздаточной к</v>
      </c>
      <c r="C4131">
        <v>2</v>
      </c>
      <c r="D4131">
        <v>2939.64</v>
      </c>
    </row>
    <row r="4132" spans="1:4">
      <c r="A4132" t="str">
        <f>"33210-7S11B"</f>
        <v>33210-7S11B</v>
      </c>
      <c r="B4132" t="str">
        <f>"Фланец раздаточной к"</f>
        <v>Фланец раздаточной к</v>
      </c>
      <c r="C4132">
        <v>0</v>
      </c>
      <c r="D4132">
        <v>2939.64</v>
      </c>
    </row>
    <row r="4133" spans="1:4">
      <c r="A4133" t="str">
        <f>"33216-33G01"</f>
        <v>33216-33G01</v>
      </c>
      <c r="B4133" t="str">
        <f>"SEAL-OIL"</f>
        <v>SEAL-OIL</v>
      </c>
      <c r="C4133">
        <v>27</v>
      </c>
      <c r="D4133">
        <v>239.49600000000001</v>
      </c>
    </row>
    <row r="4134" spans="1:4">
      <c r="A4134" t="str">
        <f>"33216-7S110"</f>
        <v>33216-7S110</v>
      </c>
      <c r="B4134" t="str">
        <f>"SEAL-OIL"</f>
        <v>SEAL-OIL</v>
      </c>
      <c r="C4134">
        <v>3</v>
      </c>
      <c r="D4134">
        <v>226.84799999999998</v>
      </c>
    </row>
    <row r="4135" spans="1:4">
      <c r="A4135" t="str">
        <f>"33216-CG01A"</f>
        <v>33216-CG01A</v>
      </c>
      <c r="B4135" t="str">
        <f>"Сальник раздаточной "</f>
        <v xml:space="preserve">Сальник раздаточной </v>
      </c>
      <c r="C4135">
        <v>1</v>
      </c>
      <c r="D4135">
        <v>551.20799999999997</v>
      </c>
    </row>
    <row r="4136" spans="1:4">
      <c r="A4136" t="str">
        <f>"33791-01J00"</f>
        <v>33791-01J00</v>
      </c>
      <c r="B4136" t="str">
        <f>"БОЛТ"</f>
        <v>БОЛТ</v>
      </c>
      <c r="C4136">
        <v>6</v>
      </c>
      <c r="D4136">
        <v>59.567999999999998</v>
      </c>
    </row>
    <row r="4137" spans="1:4">
      <c r="A4137" t="str">
        <f>"34103-AU105"</f>
        <v>34103-AU105</v>
      </c>
      <c r="B4137" t="str">
        <f>"ROD ASSY-CONTRO"</f>
        <v>ROD ASSY-CONTRO</v>
      </c>
      <c r="C4137">
        <v>0</v>
      </c>
      <c r="D4137">
        <v>3629.5679999999998</v>
      </c>
    </row>
    <row r="4138" spans="1:4">
      <c r="A4138" t="str">
        <f>"34103-BM510"</f>
        <v>34103-BM510</v>
      </c>
      <c r="B4138" t="str">
        <f>"Тяга КПП"</f>
        <v>Тяга КПП</v>
      </c>
      <c r="C4138">
        <v>0</v>
      </c>
      <c r="D4138">
        <v>3604.68</v>
      </c>
    </row>
    <row r="4139" spans="1:4">
      <c r="A4139" t="str">
        <f>"34108-BC00A"</f>
        <v>34108-BC00A</v>
      </c>
      <c r="B4139" t="str">
        <f>"Рычаг КПП"</f>
        <v>Рычаг КПП</v>
      </c>
      <c r="C4139">
        <v>19</v>
      </c>
      <c r="D4139">
        <v>5027.3759999999993</v>
      </c>
    </row>
    <row r="4140" spans="1:4">
      <c r="A4140" t="str">
        <f>"34112-2F000"</f>
        <v>34112-2F000</v>
      </c>
      <c r="B4140" t="str">
        <f>"SOCKET-BALL,CRO"</f>
        <v>SOCKET-BALL,CRO</v>
      </c>
      <c r="C4140">
        <v>22</v>
      </c>
      <c r="D4140">
        <v>280.70399999999995</v>
      </c>
    </row>
    <row r="4141" spans="1:4">
      <c r="A4141" t="str">
        <f>"34122-BN300"</f>
        <v>34122-BN300</v>
      </c>
      <c r="B4141" t="str">
        <f>"BOOT-DUST,HAND"</f>
        <v>BOOT-DUST,HAND</v>
      </c>
      <c r="C4141">
        <v>20</v>
      </c>
      <c r="D4141">
        <v>442.27199999999999</v>
      </c>
    </row>
    <row r="4142" spans="1:4">
      <c r="A4142" t="str">
        <f>"34139-4F100"</f>
        <v>34139-4F100</v>
      </c>
      <c r="B4142" t="str">
        <f>"COLLAR"</f>
        <v>COLLAR</v>
      </c>
      <c r="C4142">
        <v>3</v>
      </c>
      <c r="D4142">
        <v>237.04799999999997</v>
      </c>
    </row>
    <row r="4143" spans="1:4">
      <c r="A4143" t="str">
        <f>"34413-JD000"</f>
        <v>34413-JD000</v>
      </c>
      <c r="B4143" t="str">
        <f>"Тросик КПП"</f>
        <v>Тросик КПП</v>
      </c>
      <c r="C4143">
        <v>1</v>
      </c>
      <c r="D4143">
        <v>3237.48</v>
      </c>
    </row>
    <row r="4144" spans="1:4">
      <c r="A4144" t="str">
        <f>"34413-JD21A"</f>
        <v>34413-JD21A</v>
      </c>
      <c r="B4144" t="str">
        <f>"Тросик КПП"</f>
        <v>Тросик КПП</v>
      </c>
      <c r="C4144">
        <v>1</v>
      </c>
      <c r="D4144">
        <v>5802.5759999999991</v>
      </c>
    </row>
    <row r="4145" spans="1:4">
      <c r="A4145" t="str">
        <f>"34413-JD22A"</f>
        <v>34413-JD22A</v>
      </c>
      <c r="B4145" t="str">
        <f>"Тросик КПП"</f>
        <v>Тросик КПП</v>
      </c>
      <c r="C4145">
        <v>7</v>
      </c>
      <c r="D4145">
        <v>5802.5759999999991</v>
      </c>
    </row>
    <row r="4146" spans="1:4">
      <c r="A4146" t="str">
        <f>"34550-5M400"</f>
        <v>34550-5M400</v>
      </c>
      <c r="B4146" t="str">
        <f>"Тяга КПП"</f>
        <v>Тяга КПП</v>
      </c>
      <c r="C4146">
        <v>0</v>
      </c>
      <c r="D4146">
        <v>2569.9919999999997</v>
      </c>
    </row>
    <row r="4147" spans="1:4">
      <c r="A4147" t="str">
        <f>"34553-4F100"</f>
        <v>34553-4F100</v>
      </c>
      <c r="B4147" t="str">
        <f>"SOCKET ASSY-HAN"</f>
        <v>SOCKET ASSY-HAN</v>
      </c>
      <c r="C4147">
        <v>13</v>
      </c>
      <c r="D4147">
        <v>766.22399999999993</v>
      </c>
    </row>
    <row r="4148" spans="1:4">
      <c r="A4148" t="str">
        <f>"34556-2F000"</f>
        <v>34556-2F000</v>
      </c>
      <c r="B4148" t="str">
        <f>"TUBE-CONTROL RO"</f>
        <v>TUBE-CONTROL RO</v>
      </c>
      <c r="C4148">
        <v>16</v>
      </c>
      <c r="D4148">
        <v>174.624</v>
      </c>
    </row>
    <row r="4149" spans="1:4">
      <c r="A4149" t="str">
        <f>"34557-2F010"</f>
        <v>34557-2F010</v>
      </c>
      <c r="B4149" t="str">
        <f>"BUSH-CONTROL RO"</f>
        <v>BUSH-CONTROL RO</v>
      </c>
      <c r="C4149">
        <v>24</v>
      </c>
      <c r="D4149">
        <v>170.952</v>
      </c>
    </row>
    <row r="4150" spans="1:4">
      <c r="A4150" t="str">
        <f>"34557-50J00"</f>
        <v>34557-50J00</v>
      </c>
      <c r="B4150" t="str">
        <f>"BUSH"</f>
        <v>BUSH</v>
      </c>
      <c r="C4150">
        <v>20</v>
      </c>
      <c r="D4150">
        <v>150.14400000000001</v>
      </c>
    </row>
    <row r="4151" spans="1:4">
      <c r="A4151" t="str">
        <f>"34560-5M400"</f>
        <v>34560-5M400</v>
      </c>
      <c r="B4151" t="str">
        <f>"Кронштейн тяги К"</f>
        <v>Кронштейн тяги К</v>
      </c>
      <c r="C4151">
        <v>0</v>
      </c>
      <c r="D4151">
        <v>1465.1279999999999</v>
      </c>
    </row>
    <row r="4152" spans="1:4">
      <c r="A4152" t="str">
        <f>"34573-4F100"</f>
        <v>34573-4F100</v>
      </c>
      <c r="B4152" t="str">
        <f>"SPRING-RETURN,L"</f>
        <v>SPRING-RETURN,L</v>
      </c>
      <c r="C4152">
        <v>3</v>
      </c>
      <c r="D4152">
        <v>223.99199999999999</v>
      </c>
    </row>
    <row r="4153" spans="1:4">
      <c r="A4153" t="str">
        <f>"34573-AU100"</f>
        <v>34573-AU100</v>
      </c>
      <c r="B4153" t="str">
        <f>"SPRING-RETURN,L"</f>
        <v>SPRING-RETURN,L</v>
      </c>
      <c r="C4153">
        <v>4</v>
      </c>
      <c r="D4153">
        <v>241.94399999999999</v>
      </c>
    </row>
    <row r="4154" spans="1:4">
      <c r="A4154" t="str">
        <f>"34573-BN300"</f>
        <v>34573-BN300</v>
      </c>
      <c r="B4154" t="str">
        <f>"SPRING-RETURN,L"</f>
        <v>SPRING-RETURN,L</v>
      </c>
      <c r="C4154">
        <v>25</v>
      </c>
      <c r="D4154">
        <v>253.36799999999997</v>
      </c>
    </row>
    <row r="4155" spans="1:4">
      <c r="A4155" t="str">
        <f>"34901-JD90C"</f>
        <v>34901-JD90C</v>
      </c>
      <c r="B4155" t="str">
        <f>"Рычаг переключения п"</f>
        <v>Рычаг переключения п</v>
      </c>
      <c r="C4155">
        <v>4</v>
      </c>
      <c r="D4155">
        <v>13735.728000000001</v>
      </c>
    </row>
    <row r="4156" spans="1:4">
      <c r="A4156" t="str">
        <f>"34901-JG80B"</f>
        <v>34901-JG80B</v>
      </c>
      <c r="B4156" t="str">
        <f>"Рычаг селектора АКПП"</f>
        <v>Рычаг селектора АКПП</v>
      </c>
      <c r="C4156">
        <v>3</v>
      </c>
      <c r="D4156">
        <v>10881.359999999999</v>
      </c>
    </row>
    <row r="4157" spans="1:4">
      <c r="A4157" t="str">
        <f>"34904-JD90C"</f>
        <v>34904-JD90C</v>
      </c>
      <c r="B4157" t="str">
        <f>"Кулиса АКПП"</f>
        <v>Кулиса АКПП</v>
      </c>
      <c r="C4157">
        <v>7</v>
      </c>
      <c r="D4157">
        <v>9682.655999999999</v>
      </c>
    </row>
    <row r="4158" spans="1:4">
      <c r="A4158" t="str">
        <f>"34910-CL01A"</f>
        <v>34910-CL01A</v>
      </c>
      <c r="B4158" t="str">
        <f>"Ручка рычага КПП"</f>
        <v>Ручка рычага КПП</v>
      </c>
      <c r="C4158">
        <v>4</v>
      </c>
      <c r="D4158">
        <v>5422.7279999999992</v>
      </c>
    </row>
    <row r="4159" spans="1:4">
      <c r="A4159" t="str">
        <f>"34935-9U10B"</f>
        <v>34935-9U10B</v>
      </c>
      <c r="B4159" t="str">
        <f>"Трос рычага КПП"</f>
        <v>Трос рычага КПП</v>
      </c>
      <c r="C4159">
        <v>7</v>
      </c>
      <c r="D4159">
        <v>2157.096</v>
      </c>
    </row>
    <row r="4160" spans="1:4">
      <c r="A4160" t="str">
        <f>"34935-AX10A"</f>
        <v>34935-AX10A</v>
      </c>
      <c r="B4160" t="str">
        <f>"Трос рычага КПП"</f>
        <v>Трос рычага КПП</v>
      </c>
      <c r="C4160">
        <v>9</v>
      </c>
      <c r="D4160">
        <v>1693.6079999999999</v>
      </c>
    </row>
    <row r="4161" spans="1:4">
      <c r="A4161" t="str">
        <f>"34970-JD90A"</f>
        <v>34970-JD90A</v>
      </c>
      <c r="B4161" t="str">
        <f>"Соленоид кулисы АКПП"</f>
        <v>Соленоид кулисы АКПП</v>
      </c>
      <c r="C4161">
        <v>22</v>
      </c>
      <c r="D4161">
        <v>2075.0879999999997</v>
      </c>
    </row>
    <row r="4162" spans="1:4">
      <c r="A4162" t="str">
        <f>"36011-CA000"</f>
        <v>36011-CA000</v>
      </c>
      <c r="B4162" t="str">
        <f>"Переключатель педали"</f>
        <v>Переключатель педали</v>
      </c>
      <c r="C4162">
        <v>4</v>
      </c>
      <c r="D4162">
        <v>363.12</v>
      </c>
    </row>
    <row r="4163" spans="1:4">
      <c r="A4163" t="str">
        <f>"36402-4M60A"</f>
        <v>36402-4M60A</v>
      </c>
      <c r="B4163" t="str">
        <f>"Трос стояночного тор"</f>
        <v>Трос стояночного тор</v>
      </c>
      <c r="C4163">
        <v>6</v>
      </c>
      <c r="D4163">
        <v>290.08800000000002</v>
      </c>
    </row>
    <row r="4164" spans="1:4">
      <c r="A4164" t="str">
        <f>"36402-95F0A"</f>
        <v>36402-95F0A</v>
      </c>
      <c r="B4164" t="str">
        <f>"Трос стояночного тор"</f>
        <v>Трос стояночного тор</v>
      </c>
      <c r="C4164">
        <v>0</v>
      </c>
      <c r="D4164">
        <v>294.57599999999996</v>
      </c>
    </row>
    <row r="4165" spans="1:4">
      <c r="A4165" t="str">
        <f>"36402-AV910"</f>
        <v>36402-AV910</v>
      </c>
      <c r="B4165" t="str">
        <f>"ТРОС РУЧН. ТОРМ."</f>
        <v>ТРОС РУЧН. ТОРМ.</v>
      </c>
      <c r="C4165">
        <v>0</v>
      </c>
      <c r="D4165">
        <v>711.14400000000001</v>
      </c>
    </row>
    <row r="4166" spans="1:4">
      <c r="A4166" t="str">
        <f>"36406-01P0A"</f>
        <v>36406-01P0A</v>
      </c>
      <c r="B4166" t="str">
        <f>"Стопорная пластина т"</f>
        <v>Стопорная пластина т</v>
      </c>
      <c r="C4166">
        <v>28</v>
      </c>
      <c r="D4166">
        <v>44.472000000000001</v>
      </c>
    </row>
    <row r="4167" spans="1:4">
      <c r="A4167" t="str">
        <f>"36406-EM00A"</f>
        <v>36406-EM00A</v>
      </c>
      <c r="B4167" t="str">
        <f>"Фиксатор троса"</f>
        <v>Фиксатор троса</v>
      </c>
      <c r="C4167">
        <v>12</v>
      </c>
      <c r="D4167">
        <v>83.64</v>
      </c>
    </row>
    <row r="4168" spans="1:4">
      <c r="A4168" t="str">
        <f>"36530-0W00A"</f>
        <v>36530-0W00A</v>
      </c>
      <c r="B4168" t="str">
        <f t="shared" ref="B4168:B4177" si="82">"Трос стояночного тор"</f>
        <v>Трос стояночного тор</v>
      </c>
      <c r="C4168">
        <v>1</v>
      </c>
      <c r="D4168">
        <v>2153.424</v>
      </c>
    </row>
    <row r="4169" spans="1:4">
      <c r="A4169" t="str">
        <f>"36530-2X90A"</f>
        <v>36530-2X90A</v>
      </c>
      <c r="B4169" t="str">
        <f t="shared" si="82"/>
        <v>Трос стояночного тор</v>
      </c>
      <c r="C4169">
        <v>4</v>
      </c>
      <c r="D4169">
        <v>2180.7599999999998</v>
      </c>
    </row>
    <row r="4170" spans="1:4">
      <c r="A4170" t="str">
        <f>"36530-2Y00A"</f>
        <v>36530-2Y00A</v>
      </c>
      <c r="B4170" t="str">
        <f t="shared" si="82"/>
        <v>Трос стояночного тор</v>
      </c>
      <c r="C4170">
        <v>4</v>
      </c>
      <c r="D4170">
        <v>1787.856</v>
      </c>
    </row>
    <row r="4171" spans="1:4">
      <c r="A4171" t="str">
        <f>"36530-8H30B"</f>
        <v>36530-8H30B</v>
      </c>
      <c r="B4171" t="str">
        <f t="shared" si="82"/>
        <v>Трос стояночного тор</v>
      </c>
      <c r="C4171">
        <v>6</v>
      </c>
      <c r="D4171">
        <v>1769.088</v>
      </c>
    </row>
    <row r="4172" spans="1:4">
      <c r="A4172" t="str">
        <f>"36530-95F0A"</f>
        <v>36530-95F0A</v>
      </c>
      <c r="B4172" t="str">
        <f t="shared" si="82"/>
        <v>Трос стояночного тор</v>
      </c>
      <c r="C4172">
        <v>0</v>
      </c>
      <c r="D4172">
        <v>1407.192</v>
      </c>
    </row>
    <row r="4173" spans="1:4">
      <c r="A4173" t="str">
        <f>"36530-BA00B"</f>
        <v>36530-BA00B</v>
      </c>
      <c r="B4173" t="str">
        <f t="shared" si="82"/>
        <v>Трос стояночного тор</v>
      </c>
      <c r="C4173">
        <v>4</v>
      </c>
      <c r="D4173">
        <v>3189.7439999999997</v>
      </c>
    </row>
    <row r="4174" spans="1:4">
      <c r="A4174" t="str">
        <f>"36530-BN80A"</f>
        <v>36530-BN80A</v>
      </c>
      <c r="B4174" t="str">
        <f t="shared" si="82"/>
        <v>Трос стояночного тор</v>
      </c>
      <c r="C4174">
        <v>3</v>
      </c>
      <c r="D4174">
        <v>2541.4320000000002</v>
      </c>
    </row>
    <row r="4175" spans="1:4">
      <c r="A4175" t="str">
        <f>"36530-BN80B"</f>
        <v>36530-BN80B</v>
      </c>
      <c r="B4175" t="str">
        <f t="shared" si="82"/>
        <v>Трос стояночного тор</v>
      </c>
      <c r="C4175">
        <v>0</v>
      </c>
      <c r="D4175">
        <v>2566.7280000000001</v>
      </c>
    </row>
    <row r="4176" spans="1:4">
      <c r="A4176" t="str">
        <f>"36530-JD00A"</f>
        <v>36530-JD00A</v>
      </c>
      <c r="B4176" t="str">
        <f t="shared" si="82"/>
        <v>Трос стояночного тор</v>
      </c>
      <c r="C4176">
        <v>1</v>
      </c>
      <c r="D4176">
        <v>2256.6479999999997</v>
      </c>
    </row>
    <row r="4177" spans="1:4">
      <c r="A4177" t="str">
        <f>"36530-JG00A"</f>
        <v>36530-JG00A</v>
      </c>
      <c r="B4177" t="str">
        <f t="shared" si="82"/>
        <v>Трос стояночного тор</v>
      </c>
      <c r="C4177">
        <v>0</v>
      </c>
      <c r="D4177">
        <v>2309.6880000000001</v>
      </c>
    </row>
    <row r="4178" spans="1:4">
      <c r="A4178" t="str">
        <f>"36531-0W001"</f>
        <v>36531-0W001</v>
      </c>
      <c r="B4178" t="str">
        <f>"CABLE ASSY-BRAK"</f>
        <v>CABLE ASSY-BRAK</v>
      </c>
      <c r="C4178">
        <v>0</v>
      </c>
      <c r="D4178">
        <v>2177.0879999999997</v>
      </c>
    </row>
    <row r="4179" spans="1:4">
      <c r="A4179" t="str">
        <f>"36531-1F500"</f>
        <v>36531-1F500</v>
      </c>
      <c r="B4179" t="str">
        <f>"CABLE ASSY-BRAK"</f>
        <v>CABLE ASSY-BRAK</v>
      </c>
      <c r="C4179">
        <v>2</v>
      </c>
      <c r="D4179">
        <v>1942.4879999999998</v>
      </c>
    </row>
    <row r="4180" spans="1:4">
      <c r="A4180" t="str">
        <f>"36531-2X90A"</f>
        <v>36531-2X90A</v>
      </c>
      <c r="B4180" t="str">
        <f>"Трос стояночного тор"</f>
        <v>Трос стояночного тор</v>
      </c>
      <c r="C4180">
        <v>5</v>
      </c>
      <c r="D4180">
        <v>2153.0160000000001</v>
      </c>
    </row>
    <row r="4181" spans="1:4">
      <c r="A4181" t="str">
        <f>"36531-2Y00A"</f>
        <v>36531-2Y00A</v>
      </c>
      <c r="B4181" t="str">
        <f>"Трос стояночного тор"</f>
        <v>Трос стояночного тор</v>
      </c>
      <c r="C4181">
        <v>5</v>
      </c>
      <c r="D4181">
        <v>1787.856</v>
      </c>
    </row>
    <row r="4182" spans="1:4">
      <c r="A4182" t="str">
        <f>"36531-31U00"</f>
        <v>36531-31U00</v>
      </c>
      <c r="B4182" t="str">
        <f>"CABLE ASSY-BRAK"</f>
        <v>CABLE ASSY-BRAK</v>
      </c>
      <c r="C4182">
        <v>2</v>
      </c>
      <c r="D4182">
        <v>1834.3680000000002</v>
      </c>
    </row>
    <row r="4183" spans="1:4">
      <c r="A4183" t="str">
        <f>"36531-8H30B"</f>
        <v>36531-8H30B</v>
      </c>
      <c r="B4183" t="str">
        <f t="shared" ref="B4183:B4189" si="83">"Трос стояночного тор"</f>
        <v>Трос стояночного тор</v>
      </c>
      <c r="C4183">
        <v>7</v>
      </c>
      <c r="D4183">
        <v>1766.64</v>
      </c>
    </row>
    <row r="4184" spans="1:4">
      <c r="A4184" t="str">
        <f>"36531-95F0A"</f>
        <v>36531-95F0A</v>
      </c>
      <c r="B4184" t="str">
        <f t="shared" si="83"/>
        <v>Трос стояночного тор</v>
      </c>
      <c r="C4184">
        <v>3</v>
      </c>
      <c r="D4184">
        <v>1412.088</v>
      </c>
    </row>
    <row r="4185" spans="1:4">
      <c r="A4185" t="str">
        <f>"36531-BA00B"</f>
        <v>36531-BA00B</v>
      </c>
      <c r="B4185" t="str">
        <f t="shared" si="83"/>
        <v>Трос стояночного тор</v>
      </c>
      <c r="C4185">
        <v>2</v>
      </c>
      <c r="D4185">
        <v>2884.152</v>
      </c>
    </row>
    <row r="4186" spans="1:4">
      <c r="A4186" t="str">
        <f>"36531-BN80A"</f>
        <v>36531-BN80A</v>
      </c>
      <c r="B4186" t="str">
        <f t="shared" si="83"/>
        <v>Трос стояночного тор</v>
      </c>
      <c r="C4186">
        <v>5</v>
      </c>
      <c r="D4186">
        <v>2525.1120000000001</v>
      </c>
    </row>
    <row r="4187" spans="1:4">
      <c r="A4187" t="str">
        <f>"36531-BN80B"</f>
        <v>36531-BN80B</v>
      </c>
      <c r="B4187" t="str">
        <f t="shared" si="83"/>
        <v>Трос стояночного тор</v>
      </c>
      <c r="C4187">
        <v>2</v>
      </c>
      <c r="D4187">
        <v>2424.3359999999998</v>
      </c>
    </row>
    <row r="4188" spans="1:4">
      <c r="A4188" t="str">
        <f>"36531-JD00A"</f>
        <v>36531-JD00A</v>
      </c>
      <c r="B4188" t="str">
        <f t="shared" si="83"/>
        <v>Трос стояночного тор</v>
      </c>
      <c r="C4188">
        <v>0</v>
      </c>
      <c r="D4188">
        <v>2240.328</v>
      </c>
    </row>
    <row r="4189" spans="1:4">
      <c r="A4189" t="str">
        <f>"36531-JG00A"</f>
        <v>36531-JG00A</v>
      </c>
      <c r="B4189" t="str">
        <f t="shared" si="83"/>
        <v>Трос стояночного тор</v>
      </c>
      <c r="C4189">
        <v>3</v>
      </c>
      <c r="D4189">
        <v>2291.7359999999999</v>
      </c>
    </row>
    <row r="4190" spans="1:4">
      <c r="A4190" t="str">
        <f>"37000-7C001"</f>
        <v>37000-7C001</v>
      </c>
      <c r="B4190" t="str">
        <f>"SHAFT ASSY-PROP"</f>
        <v>SHAFT ASSY-PROP</v>
      </c>
      <c r="C4190">
        <v>2</v>
      </c>
      <c r="D4190">
        <v>17946.288</v>
      </c>
    </row>
    <row r="4191" spans="1:4">
      <c r="A4191" t="str">
        <f>"37000-7C002"</f>
        <v>37000-7C002</v>
      </c>
      <c r="B4191" t="str">
        <f>"SHAFT ASSY-PROP"</f>
        <v>SHAFT ASSY-PROP</v>
      </c>
      <c r="C4191">
        <v>3</v>
      </c>
      <c r="D4191">
        <v>17891.207999999999</v>
      </c>
    </row>
    <row r="4192" spans="1:4">
      <c r="A4192" t="str">
        <f>"37000-7C003"</f>
        <v>37000-7C003</v>
      </c>
      <c r="B4192" t="str">
        <f>"SHAFT ASSY-PROP"</f>
        <v>SHAFT ASSY-PROP</v>
      </c>
      <c r="C4192">
        <v>3</v>
      </c>
      <c r="D4192">
        <v>18413.04</v>
      </c>
    </row>
    <row r="4193" spans="1:4">
      <c r="A4193" t="str">
        <f>"37000-8H310"</f>
        <v>37000-8H310</v>
      </c>
      <c r="B4193" t="str">
        <f>"Вал карданный"</f>
        <v>Вал карданный</v>
      </c>
      <c r="C4193">
        <v>2</v>
      </c>
      <c r="D4193">
        <v>25722.768</v>
      </c>
    </row>
    <row r="4194" spans="1:4">
      <c r="A4194" t="str">
        <f>"37000-JD200"</f>
        <v>37000-JD200</v>
      </c>
      <c r="B4194" t="str">
        <f>"Вал карданный"</f>
        <v>Вал карданный</v>
      </c>
      <c r="C4194">
        <v>0</v>
      </c>
      <c r="D4194">
        <v>27337.223999999998</v>
      </c>
    </row>
    <row r="4195" spans="1:4">
      <c r="A4195" t="str">
        <f>"37000-JG30A"</f>
        <v>37000-JG30A</v>
      </c>
      <c r="B4195" t="str">
        <f>"Вал карданный"</f>
        <v>Вал карданный</v>
      </c>
      <c r="C4195">
        <v>0</v>
      </c>
      <c r="D4195">
        <v>28555.511999999999</v>
      </c>
    </row>
    <row r="4196" spans="1:4">
      <c r="A4196" t="str">
        <f>"37120-7S00A"</f>
        <v>37120-7S00A</v>
      </c>
      <c r="B4196" t="str">
        <f>"Болт карданного вала"</f>
        <v>Болт карданного вала</v>
      </c>
      <c r="C4196">
        <v>22</v>
      </c>
      <c r="D4196">
        <v>61.199999999999996</v>
      </c>
    </row>
    <row r="4197" spans="1:4">
      <c r="A4197" t="str">
        <f>"37120-C6005"</f>
        <v>37120-C6005</v>
      </c>
      <c r="B4197" t="str">
        <f>"Болт карданного вала"</f>
        <v>Болт карданного вала</v>
      </c>
      <c r="C4197">
        <v>4</v>
      </c>
      <c r="D4197">
        <v>26.928000000000001</v>
      </c>
    </row>
    <row r="4198" spans="1:4">
      <c r="A4198" t="str">
        <f>"37120-C6017"</f>
        <v>37120-C6017</v>
      </c>
      <c r="B4198" t="str">
        <f>"BOLT-FIX PROPEL"</f>
        <v>BOLT-FIX PROPEL</v>
      </c>
      <c r="C4198">
        <v>2</v>
      </c>
      <c r="D4198">
        <v>25.295999999999996</v>
      </c>
    </row>
    <row r="4199" spans="1:4">
      <c r="A4199" t="str">
        <f>"37120-CG10A"</f>
        <v>37120-CG10A</v>
      </c>
      <c r="B4199" t="str">
        <f>"Болт карданного вала"</f>
        <v>Болт карданного вала</v>
      </c>
      <c r="C4199">
        <v>6</v>
      </c>
      <c r="D4199">
        <v>57.527999999999999</v>
      </c>
    </row>
    <row r="4200" spans="1:4">
      <c r="A4200" t="str">
        <f>"37120-JD00B"</f>
        <v>37120-JD00B</v>
      </c>
      <c r="B4200" t="str">
        <f>"BOLT-FIX PROPEL"</f>
        <v>BOLT-FIX PROPEL</v>
      </c>
      <c r="C4200">
        <v>0</v>
      </c>
      <c r="D4200">
        <v>61.199999999999996</v>
      </c>
    </row>
    <row r="4201" spans="1:4">
      <c r="A4201" t="str">
        <f>"37120-JD01A"</f>
        <v>37120-JD01A</v>
      </c>
      <c r="B4201" t="str">
        <f>"Болт карданного вала"</f>
        <v>Болт карданного вала</v>
      </c>
      <c r="C4201">
        <v>0</v>
      </c>
      <c r="D4201">
        <v>53.448</v>
      </c>
    </row>
    <row r="4202" spans="1:4">
      <c r="A4202" t="str">
        <f>"37125-01GX5"</f>
        <v>37125-01GX5</v>
      </c>
      <c r="B4202" t="str">
        <f>"JOURNAL KIT"</f>
        <v>JOURNAL KIT</v>
      </c>
      <c r="C4202">
        <v>4</v>
      </c>
      <c r="D4202">
        <v>955.53599999999994</v>
      </c>
    </row>
    <row r="4203" spans="1:4">
      <c r="A4203" t="str">
        <f>"37125-01JX5"</f>
        <v>37125-01JX5</v>
      </c>
      <c r="B4203" t="str">
        <f>"JOURNAL KIT"</f>
        <v>JOURNAL KIT</v>
      </c>
      <c r="C4203">
        <v>14</v>
      </c>
      <c r="D4203">
        <v>1629.1439999999998</v>
      </c>
    </row>
    <row r="4204" spans="1:4">
      <c r="A4204" t="str">
        <f>"37125-2X800"</f>
        <v>37125-2X800</v>
      </c>
      <c r="B4204" t="str">
        <f>"JOURNAL KIT"</f>
        <v>JOURNAL KIT</v>
      </c>
      <c r="C4204">
        <v>8</v>
      </c>
      <c r="D4204">
        <v>2773.9919999999997</v>
      </c>
    </row>
    <row r="4205" spans="1:4">
      <c r="A4205" t="str">
        <f>"37125-2X801"</f>
        <v>37125-2X801</v>
      </c>
      <c r="B4205" t="str">
        <f>"JOURNAL KIT"</f>
        <v>JOURNAL KIT</v>
      </c>
      <c r="C4205">
        <v>49</v>
      </c>
      <c r="D4205">
        <v>2341.5119999999997</v>
      </c>
    </row>
    <row r="4206" spans="1:4">
      <c r="A4206" t="str">
        <f>"37125-49WX6"</f>
        <v>37125-49WX6</v>
      </c>
      <c r="B4206" t="str">
        <f>"Крестовина карданног"</f>
        <v>Крестовина карданног</v>
      </c>
      <c r="C4206">
        <v>0</v>
      </c>
      <c r="D4206">
        <v>897.6</v>
      </c>
    </row>
    <row r="4207" spans="1:4">
      <c r="A4207" t="str">
        <f>"37125-7F025"</f>
        <v>37125-7F025</v>
      </c>
      <c r="B4207" t="str">
        <f>"JOURNAL KIT"</f>
        <v>JOURNAL KIT</v>
      </c>
      <c r="C4207">
        <v>2</v>
      </c>
      <c r="D4207">
        <v>2970.6479999999997</v>
      </c>
    </row>
    <row r="4208" spans="1:4">
      <c r="A4208" t="str">
        <f>"37125-EB30A"</f>
        <v>37125-EB30A</v>
      </c>
      <c r="B4208" t="str">
        <f>"Крестовина карданног"</f>
        <v>Крестовина карданног</v>
      </c>
      <c r="C4208">
        <v>2</v>
      </c>
      <c r="D4208">
        <v>2874.7679999999996</v>
      </c>
    </row>
    <row r="4209" spans="1:4">
      <c r="A4209" t="str">
        <f>"37125-EB51A"</f>
        <v>37125-EB51A</v>
      </c>
      <c r="B4209" t="str">
        <f>"Крестовина карданног"</f>
        <v>Крестовина карданног</v>
      </c>
      <c r="C4209">
        <v>26</v>
      </c>
      <c r="D4209">
        <v>1829.472</v>
      </c>
    </row>
    <row r="4210" spans="1:4">
      <c r="A4210" t="str">
        <f>"37125-VB9X5"</f>
        <v>37125-VB9X5</v>
      </c>
      <c r="B4210" t="str">
        <f>"JOURNAL KIT"</f>
        <v>JOURNAL KIT</v>
      </c>
      <c r="C4210">
        <v>5</v>
      </c>
      <c r="D4210">
        <v>982.05599999999993</v>
      </c>
    </row>
    <row r="4211" spans="1:4">
      <c r="A4211" t="str">
        <f>"37126-3S526"</f>
        <v>37126-3S526</v>
      </c>
      <c r="B4211" t="str">
        <f>"Крестовина карданног"</f>
        <v>Крестовина карданног</v>
      </c>
      <c r="C4211">
        <v>13</v>
      </c>
      <c r="D4211">
        <v>1799.28</v>
      </c>
    </row>
    <row r="4212" spans="1:4">
      <c r="A4212" t="str">
        <f>"37126-7S026"</f>
        <v>37126-7S026</v>
      </c>
      <c r="B4212" t="str">
        <f>"Крестовина карданног"</f>
        <v>Крестовина карданног</v>
      </c>
      <c r="C4212">
        <v>8</v>
      </c>
      <c r="D4212">
        <v>1906.5839999999998</v>
      </c>
    </row>
    <row r="4213" spans="1:4">
      <c r="A4213" t="str">
        <f>"37171-7S00A"</f>
        <v>37171-7S00A</v>
      </c>
      <c r="B4213" t="str">
        <f>"Гайка карданного вал"</f>
        <v>Гайка карданного вал</v>
      </c>
      <c r="C4213">
        <v>0</v>
      </c>
      <c r="D4213">
        <v>32.64</v>
      </c>
    </row>
    <row r="4214" spans="1:4">
      <c r="A4214" t="str">
        <f>"37171-VC30A"</f>
        <v>37171-VC30A</v>
      </c>
      <c r="B4214" t="str">
        <f>"Гайка карданного вал"</f>
        <v>Гайка карданного вал</v>
      </c>
      <c r="C4214">
        <v>10</v>
      </c>
      <c r="D4214">
        <v>39.984000000000002</v>
      </c>
    </row>
    <row r="4215" spans="1:4">
      <c r="A4215" t="str">
        <f>"37200-1CA1A"</f>
        <v>37200-1CA1A</v>
      </c>
      <c r="B4215" t="str">
        <f>"Вал карданный"</f>
        <v>Вал карданный</v>
      </c>
      <c r="C4215">
        <v>1</v>
      </c>
      <c r="D4215">
        <v>24114.84</v>
      </c>
    </row>
    <row r="4216" spans="1:4">
      <c r="A4216" t="str">
        <f>"37200-CL70A"</f>
        <v>37200-CL70A</v>
      </c>
      <c r="B4216" t="str">
        <f>"Вал карданный"</f>
        <v>Вал карданный</v>
      </c>
      <c r="C4216">
        <v>0</v>
      </c>
      <c r="D4216">
        <v>19224.144</v>
      </c>
    </row>
    <row r="4217" spans="1:4">
      <c r="A4217" t="str">
        <f>"37200-EB300"</f>
        <v>37200-EB300</v>
      </c>
      <c r="B4217" t="str">
        <f>"SHAFT ASSY-FRON"</f>
        <v>SHAFT ASSY-FRON</v>
      </c>
      <c r="C4217">
        <v>0</v>
      </c>
      <c r="D4217">
        <v>20719.871999999999</v>
      </c>
    </row>
    <row r="4218" spans="1:4">
      <c r="A4218" t="str">
        <f>"37200-ZZ71A"</f>
        <v>37200-ZZ71A</v>
      </c>
      <c r="B4218" t="str">
        <f>"Вал карданный"</f>
        <v>Вал карданный</v>
      </c>
      <c r="C4218">
        <v>1</v>
      </c>
      <c r="D4218">
        <v>19250.255999999998</v>
      </c>
    </row>
    <row r="4219" spans="1:4">
      <c r="A4219" t="str">
        <f>"37300-EB30A"</f>
        <v>37300-EB30A</v>
      </c>
      <c r="B4219" t="str">
        <f>"Вал карданный"</f>
        <v>Вал карданный</v>
      </c>
      <c r="C4219">
        <v>0</v>
      </c>
      <c r="D4219">
        <v>24075.672000000002</v>
      </c>
    </row>
    <row r="4220" spans="1:4">
      <c r="A4220" t="str">
        <f>"38100-4N28A"</f>
        <v>38100-4N28A</v>
      </c>
      <c r="B4220" t="str">
        <f>"Шестерня редуктора м"</f>
        <v>Шестерня редуктора м</v>
      </c>
      <c r="C4220">
        <v>14</v>
      </c>
      <c r="D4220">
        <v>22696.223999999998</v>
      </c>
    </row>
    <row r="4221" spans="1:4">
      <c r="A4221" t="str">
        <f>"38101-4M408"</f>
        <v>38101-4M408</v>
      </c>
      <c r="B4221" t="str">
        <f>"GEAR-FINL DRIVE"</f>
        <v>GEAR-FINL DRIVE</v>
      </c>
      <c r="C4221">
        <v>4</v>
      </c>
      <c r="D4221">
        <v>5867.4479999999994</v>
      </c>
    </row>
    <row r="4222" spans="1:4">
      <c r="A4222" t="str">
        <f>"38101-54A06"</f>
        <v>38101-54A06</v>
      </c>
      <c r="B4222" t="str">
        <f>"GEAR-FINL DRIVE"</f>
        <v>GEAR-FINL DRIVE</v>
      </c>
      <c r="C4222">
        <v>9</v>
      </c>
      <c r="D4222">
        <v>5873.5680000000002</v>
      </c>
    </row>
    <row r="4223" spans="1:4">
      <c r="A4223" t="str">
        <f>"38120-4N500"</f>
        <v>38120-4N500</v>
      </c>
      <c r="B4223" t="str">
        <f>"Подшипник редуктора "</f>
        <v xml:space="preserve">Подшипник редуктора </v>
      </c>
      <c r="C4223">
        <v>1</v>
      </c>
      <c r="D4223">
        <v>985.31999999999994</v>
      </c>
    </row>
    <row r="4224" spans="1:4">
      <c r="A4224" t="str">
        <f>"38120-76500"</f>
        <v>38120-76500</v>
      </c>
      <c r="B4224" t="str">
        <f>"BRG PINION REAR"</f>
        <v>BRG PINION REAR</v>
      </c>
      <c r="C4224">
        <v>10</v>
      </c>
      <c r="D4224">
        <v>1930.6559999999999</v>
      </c>
    </row>
    <row r="4225" spans="1:4">
      <c r="A4225" t="str">
        <f>"38120-8S100"</f>
        <v>38120-8S100</v>
      </c>
      <c r="B4225" t="str">
        <f>"Подшипник"</f>
        <v>Подшипник</v>
      </c>
      <c r="C4225">
        <v>0</v>
      </c>
      <c r="D4225">
        <v>1482.2639999999999</v>
      </c>
    </row>
    <row r="4226" spans="1:4">
      <c r="A4226" t="str">
        <f>"38120-G2301"</f>
        <v>38120-G2301</v>
      </c>
      <c r="B4226" t="str">
        <f>"BEARING PINION"</f>
        <v>BEARING PINION</v>
      </c>
      <c r="C4226">
        <v>1</v>
      </c>
      <c r="D4226">
        <v>2054.2800000000002</v>
      </c>
    </row>
    <row r="4227" spans="1:4">
      <c r="A4227" t="str">
        <f>"38140-4N200"</f>
        <v>38140-4N200</v>
      </c>
      <c r="B4227" t="str">
        <f>"Подшипник редуктора "</f>
        <v xml:space="preserve">Подшипник редуктора </v>
      </c>
      <c r="C4227">
        <v>7</v>
      </c>
      <c r="D4227">
        <v>776.83199999999999</v>
      </c>
    </row>
    <row r="4228" spans="1:4">
      <c r="A4228" t="str">
        <f>"38140-4N500"</f>
        <v>38140-4N500</v>
      </c>
      <c r="B4228" t="str">
        <f>"BEARING PINION"</f>
        <v>BEARING PINION</v>
      </c>
      <c r="C4228">
        <v>4</v>
      </c>
      <c r="D4228">
        <v>934.72800000000007</v>
      </c>
    </row>
    <row r="4229" spans="1:4">
      <c r="A4229" t="str">
        <f>"38140-CA000"</f>
        <v>38140-CA000</v>
      </c>
      <c r="B4229" t="str">
        <f>"Подшипник редуктора "</f>
        <v xml:space="preserve">Подшипник редуктора </v>
      </c>
      <c r="C4229">
        <v>1</v>
      </c>
      <c r="D4229">
        <v>911.06399999999996</v>
      </c>
    </row>
    <row r="4230" spans="1:4">
      <c r="A4230" t="str">
        <f>"38166-CA010"</f>
        <v>38166-CA010</v>
      </c>
      <c r="B4230" t="str">
        <f>"SPACER-BEARING"</f>
        <v>SPACER-BEARING</v>
      </c>
      <c r="C4230">
        <v>1</v>
      </c>
      <c r="D4230">
        <v>340.27199999999999</v>
      </c>
    </row>
    <row r="4231" spans="1:4">
      <c r="A4231" t="str">
        <f>"38166-CA020"</f>
        <v>38166-CA020</v>
      </c>
      <c r="B4231" t="str">
        <f>"Втулка подшипника ре"</f>
        <v>Втулка подшипника ре</v>
      </c>
      <c r="C4231">
        <v>3</v>
      </c>
      <c r="D4231">
        <v>429.21600000000001</v>
      </c>
    </row>
    <row r="4232" spans="1:4">
      <c r="A4232" t="str">
        <f>"38189-00Q0A"</f>
        <v>38189-00Q0A</v>
      </c>
      <c r="B4232" t="str">
        <f>"Сальник редуктора мо"</f>
        <v>Сальник редуктора мо</v>
      </c>
      <c r="C4232">
        <v>12</v>
      </c>
      <c r="D4232">
        <v>289.27199999999999</v>
      </c>
    </row>
    <row r="4233" spans="1:4">
      <c r="A4233" t="str">
        <f>"38189-00QAD"</f>
        <v>38189-00QAD</v>
      </c>
      <c r="B4233" t="str">
        <f>"Сальник редуктора мо"</f>
        <v>Сальник редуктора мо</v>
      </c>
      <c r="C4233">
        <v>0</v>
      </c>
      <c r="D4233">
        <v>364.34399999999999</v>
      </c>
    </row>
    <row r="4234" spans="1:4">
      <c r="A4234" t="str">
        <f>"38189-01G00"</f>
        <v>38189-01G00</v>
      </c>
      <c r="B4234" t="str">
        <f>"SEAL-OIL DRIVE"</f>
        <v>SEAL-OIL DRIVE</v>
      </c>
      <c r="C4234">
        <v>1</v>
      </c>
      <c r="D4234">
        <v>316.60799999999995</v>
      </c>
    </row>
    <row r="4235" spans="1:4">
      <c r="A4235" t="str">
        <f>"38189-01G17"</f>
        <v>38189-01G17</v>
      </c>
      <c r="B4235" t="str">
        <f>"SEAL-OIL DRIVE"</f>
        <v>SEAL-OIL DRIVE</v>
      </c>
      <c r="C4235">
        <v>2</v>
      </c>
      <c r="D4235">
        <v>435.33599999999996</v>
      </c>
    </row>
    <row r="4236" spans="1:4">
      <c r="A4236" t="str">
        <f>"38189-21G17"</f>
        <v>38189-21G17</v>
      </c>
      <c r="B4236" t="str">
        <f>"SEAL-OIL DRIVE"</f>
        <v>SEAL-OIL DRIVE</v>
      </c>
      <c r="C4236">
        <v>1</v>
      </c>
      <c r="D4236">
        <v>317.42399999999998</v>
      </c>
    </row>
    <row r="4237" spans="1:4">
      <c r="A4237" t="str">
        <f>"38189-4N200"</f>
        <v>38189-4N200</v>
      </c>
      <c r="B4237" t="str">
        <f>"SEAL OIL PINION"</f>
        <v>SEAL OIL PINION</v>
      </c>
      <c r="C4237">
        <v>4</v>
      </c>
      <c r="D4237">
        <v>226.03200000000001</v>
      </c>
    </row>
    <row r="4238" spans="1:4">
      <c r="A4238" t="str">
        <f>"38189-7S000"</f>
        <v>38189-7S000</v>
      </c>
      <c r="B4238" t="str">
        <f>"SEAL OIL"</f>
        <v>SEAL OIL</v>
      </c>
      <c r="C4238">
        <v>8</v>
      </c>
      <c r="D4238">
        <v>389.23200000000003</v>
      </c>
    </row>
    <row r="4239" spans="1:4">
      <c r="A4239" t="str">
        <f>"38189-8H500"</f>
        <v>38189-8H500</v>
      </c>
      <c r="B4239" t="str">
        <f>"SEAL OIL"</f>
        <v>SEAL OIL</v>
      </c>
      <c r="C4239">
        <v>6</v>
      </c>
      <c r="D4239">
        <v>264.38399999999996</v>
      </c>
    </row>
    <row r="4240" spans="1:4">
      <c r="A4240" t="str">
        <f>"38189-8S110"</f>
        <v>38189-8S110</v>
      </c>
      <c r="B4240" t="str">
        <f>"Сальник редуктора мо"</f>
        <v>Сальник редуктора мо</v>
      </c>
      <c r="C4240">
        <v>18</v>
      </c>
      <c r="D4240">
        <v>1798.8719999999998</v>
      </c>
    </row>
    <row r="4241" spans="1:4">
      <c r="A4241" t="str">
        <f>"38189-AR00A"</f>
        <v>38189-AR00A</v>
      </c>
      <c r="B4241" t="str">
        <f>"Сальник редуктора мо"</f>
        <v>Сальник редуктора мо</v>
      </c>
      <c r="C4241">
        <v>21</v>
      </c>
      <c r="D4241">
        <v>306.81599999999997</v>
      </c>
    </row>
    <row r="4242" spans="1:4">
      <c r="A4242" t="str">
        <f>"38189-C7122"</f>
        <v>38189-C7122</v>
      </c>
      <c r="B4242" t="str">
        <f>"SEAL OIL"</f>
        <v>SEAL OIL</v>
      </c>
      <c r="C4242">
        <v>14</v>
      </c>
      <c r="D4242">
        <v>183.6</v>
      </c>
    </row>
    <row r="4243" spans="1:4">
      <c r="A4243" t="str">
        <f>"38189-C7123"</f>
        <v>38189-C7123</v>
      </c>
      <c r="B4243" t="str">
        <f>"SEAL OIL"</f>
        <v>SEAL OIL</v>
      </c>
      <c r="C4243">
        <v>10</v>
      </c>
      <c r="D4243">
        <v>184.82400000000001</v>
      </c>
    </row>
    <row r="4244" spans="1:4">
      <c r="A4244" t="str">
        <f>"38189-CA000"</f>
        <v>38189-CA000</v>
      </c>
      <c r="B4244" t="str">
        <f>"Сальник редуктора мо"</f>
        <v>Сальник редуктора мо</v>
      </c>
      <c r="C4244">
        <v>4</v>
      </c>
      <c r="D4244">
        <v>255.816</v>
      </c>
    </row>
    <row r="4245" spans="1:4">
      <c r="A4245" t="str">
        <f>"38189-N3112"</f>
        <v>38189-N3112</v>
      </c>
      <c r="B4245" t="str">
        <f>"SEAL-OIL,DRIVE"</f>
        <v>SEAL-OIL,DRIVE</v>
      </c>
      <c r="C4245">
        <v>6</v>
      </c>
      <c r="D4245">
        <v>405.55199999999996</v>
      </c>
    </row>
    <row r="4246" spans="1:4">
      <c r="A4246" t="str">
        <f>"38189-P0117"</f>
        <v>38189-P0117</v>
      </c>
      <c r="B4246" t="str">
        <f>"SEAL-OIL,DRIVE"</f>
        <v>SEAL-OIL,DRIVE</v>
      </c>
      <c r="C4246">
        <v>3</v>
      </c>
      <c r="D4246">
        <v>311.71199999999999</v>
      </c>
    </row>
    <row r="4247" spans="1:4">
      <c r="A4247" t="str">
        <f>"38189-ZJ00A"</f>
        <v>38189-ZJ00A</v>
      </c>
      <c r="B4247" t="str">
        <f>"Сальник редуктора мо"</f>
        <v>Сальник редуктора мо</v>
      </c>
      <c r="C4247">
        <v>41</v>
      </c>
      <c r="D4247">
        <v>299.06399999999996</v>
      </c>
    </row>
    <row r="4248" spans="1:4">
      <c r="A4248" t="str">
        <f>"38216-U301A"</f>
        <v>38216-U301A</v>
      </c>
      <c r="B4248" t="str">
        <f>"Гайка шестерни"</f>
        <v>Гайка шестерни</v>
      </c>
      <c r="C4248">
        <v>13</v>
      </c>
      <c r="D4248">
        <v>97.512</v>
      </c>
    </row>
    <row r="4249" spans="1:4">
      <c r="A4249" t="str">
        <f>"38220-8S11A"</f>
        <v>38220-8S11A</v>
      </c>
      <c r="B4249" t="str">
        <f>"Фланец моста"</f>
        <v>Фланец моста</v>
      </c>
      <c r="C4249">
        <v>7</v>
      </c>
      <c r="D4249">
        <v>4725.0479999999998</v>
      </c>
    </row>
    <row r="4250" spans="1:4">
      <c r="A4250" t="str">
        <f>"38225-8S110"</f>
        <v>38225-8S110</v>
      </c>
      <c r="B4250" t="str">
        <f>"Стопорное кольцо при"</f>
        <v>Стопорное кольцо при</v>
      </c>
      <c r="C4250">
        <v>11</v>
      </c>
      <c r="D4250">
        <v>120.768</v>
      </c>
    </row>
    <row r="4251" spans="1:4">
      <c r="A4251" t="str">
        <f>"38230-8H710"</f>
        <v>38230-8H710</v>
      </c>
      <c r="B4251" t="str">
        <f>"Вал привода"</f>
        <v>Вал привода</v>
      </c>
      <c r="C4251">
        <v>5</v>
      </c>
      <c r="D4251">
        <v>10525.583999999999</v>
      </c>
    </row>
    <row r="4252" spans="1:4">
      <c r="A4252" t="str">
        <f>"38230-8S11A"</f>
        <v>38230-8S11A</v>
      </c>
      <c r="B4252" t="str">
        <f>"Вал привода"</f>
        <v>Вал привода</v>
      </c>
      <c r="C4252">
        <v>5</v>
      </c>
      <c r="D4252">
        <v>7342.7759999999989</v>
      </c>
    </row>
    <row r="4253" spans="1:4">
      <c r="A4253" t="str">
        <f>"38230-CA000"</f>
        <v>38230-CA000</v>
      </c>
      <c r="B4253" t="str">
        <f>"Вал привода"</f>
        <v>Вал привода</v>
      </c>
      <c r="C4253">
        <v>4</v>
      </c>
      <c r="D4253">
        <v>11800.992</v>
      </c>
    </row>
    <row r="4254" spans="1:4">
      <c r="A4254" t="str">
        <f>"38300-8H500"</f>
        <v>38300-8H500</v>
      </c>
      <c r="B4254" t="str">
        <f>"FINAL DRIVE ASS"</f>
        <v>FINAL DRIVE ASS</v>
      </c>
      <c r="C4254">
        <v>1</v>
      </c>
      <c r="D4254">
        <v>65260.415999999997</v>
      </c>
    </row>
    <row r="4255" spans="1:4">
      <c r="A4255" t="str">
        <f>"38300-CA000"</f>
        <v>38300-CA000</v>
      </c>
      <c r="B4255" t="str">
        <f>"Редуктор заднего мос"</f>
        <v>Редуктор заднего мос</v>
      </c>
      <c r="C4255">
        <v>4</v>
      </c>
      <c r="D4255">
        <v>77097.312000000005</v>
      </c>
    </row>
    <row r="4256" spans="1:4">
      <c r="A4256" t="str">
        <f>"38300-JD600"</f>
        <v>38300-JD600</v>
      </c>
      <c r="B4256" t="str">
        <f>"Редуктор заднего мос"</f>
        <v>Редуктор заднего мос</v>
      </c>
      <c r="C4256">
        <v>3</v>
      </c>
      <c r="D4256">
        <v>72347.376000000004</v>
      </c>
    </row>
    <row r="4257" spans="1:4">
      <c r="A4257" t="str">
        <f>"38320-T3322"</f>
        <v>38320-T3322</v>
      </c>
      <c r="B4257" t="str">
        <f>"PACKING COVER"</f>
        <v>PACKING COVER</v>
      </c>
      <c r="C4257">
        <v>22</v>
      </c>
      <c r="D4257">
        <v>149.73599999999999</v>
      </c>
    </row>
    <row r="4258" spans="1:4">
      <c r="A4258" t="str">
        <f>"38323-C601A"</f>
        <v>38323-C601A</v>
      </c>
      <c r="B4258" t="str">
        <f>"Штуцер"</f>
        <v>Штуцер</v>
      </c>
      <c r="C4258">
        <v>12</v>
      </c>
      <c r="D4258">
        <v>118.72799999999999</v>
      </c>
    </row>
    <row r="4259" spans="1:4">
      <c r="A4259" t="str">
        <f>"38326-0F064"</f>
        <v>38326-0F064</v>
      </c>
      <c r="B4259" t="str">
        <f>"TUBE-BREATHER"</f>
        <v>TUBE-BREATHER</v>
      </c>
      <c r="C4259">
        <v>1</v>
      </c>
      <c r="D4259">
        <v>571.19999999999993</v>
      </c>
    </row>
    <row r="4260" spans="1:4">
      <c r="A4260" t="str">
        <f>"38326-0F065"</f>
        <v>38326-0F065</v>
      </c>
      <c r="B4260" t="str">
        <f>"Трубка"</f>
        <v>Трубка</v>
      </c>
      <c r="C4260">
        <v>1</v>
      </c>
      <c r="D4260">
        <v>571.19999999999993</v>
      </c>
    </row>
    <row r="4261" spans="1:4">
      <c r="A4261" t="str">
        <f>"38326-3F900"</f>
        <v>38326-3F900</v>
      </c>
      <c r="B4261" t="str">
        <f>"Трубка"</f>
        <v>Трубка</v>
      </c>
      <c r="C4261">
        <v>1</v>
      </c>
      <c r="D4261">
        <v>571.19999999999993</v>
      </c>
    </row>
    <row r="4262" spans="1:4">
      <c r="A4262" t="str">
        <f>"38342-00QAG"</f>
        <v>38342-00QAG</v>
      </c>
      <c r="B4262" t="str">
        <f>"Сальник дифференциал"</f>
        <v>Сальник дифференциал</v>
      </c>
      <c r="C4262">
        <v>12</v>
      </c>
      <c r="D4262">
        <v>163.19999999999999</v>
      </c>
    </row>
    <row r="4263" spans="1:4">
      <c r="A4263" t="str">
        <f>"38342-01B00"</f>
        <v>38342-01B00</v>
      </c>
      <c r="B4263" t="str">
        <f>"SEAL-OIL,DIFF"</f>
        <v>SEAL-OIL,DIFF</v>
      </c>
      <c r="C4263">
        <v>6</v>
      </c>
      <c r="D4263">
        <v>149.73599999999999</v>
      </c>
    </row>
    <row r="4264" spans="1:4">
      <c r="A4264" t="str">
        <f>"38342-01E00"</f>
        <v>38342-01E00</v>
      </c>
      <c r="B4264" t="str">
        <f>"SEAL-OIL,DIFF"</f>
        <v>SEAL-OIL,DIFF</v>
      </c>
      <c r="C4264">
        <v>7</v>
      </c>
      <c r="D4264">
        <v>189.72</v>
      </c>
    </row>
    <row r="4265" spans="1:4">
      <c r="A4265" t="str">
        <f>"38342-01G00"</f>
        <v>38342-01G00</v>
      </c>
      <c r="B4265" t="str">
        <f>"SEAL-OIL"</f>
        <v>SEAL-OIL</v>
      </c>
      <c r="C4265">
        <v>11</v>
      </c>
      <c r="D4265">
        <v>218.68800000000002</v>
      </c>
    </row>
    <row r="4266" spans="1:4">
      <c r="A4266" t="str">
        <f>"38342-01G01"</f>
        <v>38342-01G01</v>
      </c>
      <c r="B4266" t="str">
        <f>"SEAL OIL"</f>
        <v>SEAL OIL</v>
      </c>
      <c r="C4266">
        <v>7</v>
      </c>
      <c r="D4266">
        <v>121.99199999999999</v>
      </c>
    </row>
    <row r="4267" spans="1:4">
      <c r="A4267" t="str">
        <f>"38342-03V01"</f>
        <v>38342-03V01</v>
      </c>
      <c r="B4267" t="str">
        <f>"Сальник дифференциал"</f>
        <v>Сальник дифференциал</v>
      </c>
      <c r="C4267">
        <v>12</v>
      </c>
      <c r="D4267">
        <v>240.31199999999998</v>
      </c>
    </row>
    <row r="4268" spans="1:4">
      <c r="A4268" t="str">
        <f>"38342-06R01"</f>
        <v>38342-06R01</v>
      </c>
      <c r="B4268" t="str">
        <f>"SEAL-OIL"</f>
        <v>SEAL-OIL</v>
      </c>
      <c r="C4268">
        <v>15</v>
      </c>
      <c r="D4268">
        <v>235.416</v>
      </c>
    </row>
    <row r="4269" spans="1:4">
      <c r="A4269" t="str">
        <f>"38342-21X00"</f>
        <v>38342-21X00</v>
      </c>
      <c r="B4269" t="str">
        <f>"SEAL-OIL"</f>
        <v>SEAL-OIL</v>
      </c>
      <c r="C4269">
        <v>1</v>
      </c>
      <c r="D4269">
        <v>204.816</v>
      </c>
    </row>
    <row r="4270" spans="1:4">
      <c r="A4270" t="str">
        <f>"38342-21X01"</f>
        <v>38342-21X01</v>
      </c>
      <c r="B4270" t="str">
        <f>"SEAL-OIL"</f>
        <v>SEAL-OIL</v>
      </c>
      <c r="C4270">
        <v>4</v>
      </c>
      <c r="D4270">
        <v>212.56799999999998</v>
      </c>
    </row>
    <row r="4271" spans="1:4">
      <c r="A4271" t="str">
        <f>"38342-40P00"</f>
        <v>38342-40P00</v>
      </c>
      <c r="B4271" t="str">
        <f>"SEAL OIL"</f>
        <v>SEAL OIL</v>
      </c>
      <c r="C4271">
        <v>0</v>
      </c>
      <c r="D4271">
        <v>177.48</v>
      </c>
    </row>
    <row r="4272" spans="1:4">
      <c r="A4272" t="str">
        <f>"38342-4N500"</f>
        <v>38342-4N500</v>
      </c>
      <c r="B4272" t="str">
        <f>"SEAL OIL"</f>
        <v>SEAL OIL</v>
      </c>
      <c r="C4272">
        <v>14</v>
      </c>
      <c r="D4272">
        <v>175.03200000000001</v>
      </c>
    </row>
    <row r="4273" spans="1:4">
      <c r="A4273" t="str">
        <f>"38342-51E00"</f>
        <v>38342-51E00</v>
      </c>
      <c r="B4273" t="str">
        <f>"SEAL-OIL DIFFER"</f>
        <v>SEAL-OIL DIFFER</v>
      </c>
      <c r="C4273">
        <v>7</v>
      </c>
      <c r="D4273">
        <v>141.16800000000001</v>
      </c>
    </row>
    <row r="4274" spans="1:4">
      <c r="A4274" t="str">
        <f>"38342-56E00"</f>
        <v>38342-56E00</v>
      </c>
      <c r="B4274" t="str">
        <f t="shared" ref="B4274:B4281" si="84">"SEAL-OIL"</f>
        <v>SEAL-OIL</v>
      </c>
      <c r="C4274">
        <v>2</v>
      </c>
      <c r="D4274">
        <v>247.24799999999999</v>
      </c>
    </row>
    <row r="4275" spans="1:4">
      <c r="A4275" t="str">
        <f>"38342-80X00"</f>
        <v>38342-80X00</v>
      </c>
      <c r="B4275" t="str">
        <f t="shared" si="84"/>
        <v>SEAL-OIL</v>
      </c>
      <c r="C4275">
        <v>7</v>
      </c>
      <c r="D4275">
        <v>149.328</v>
      </c>
    </row>
    <row r="4276" spans="1:4">
      <c r="A4276" t="str">
        <f>"38342-81X00"</f>
        <v>38342-81X00</v>
      </c>
      <c r="B4276" t="str">
        <f t="shared" si="84"/>
        <v>SEAL-OIL</v>
      </c>
      <c r="C4276">
        <v>35</v>
      </c>
      <c r="D4276">
        <v>168.91199999999998</v>
      </c>
    </row>
    <row r="4277" spans="1:4">
      <c r="A4277" t="str">
        <f>"38342-81X01"</f>
        <v>38342-81X01</v>
      </c>
      <c r="B4277" t="str">
        <f t="shared" si="84"/>
        <v>SEAL-OIL</v>
      </c>
      <c r="C4277">
        <v>53</v>
      </c>
      <c r="D4277">
        <v>217.464</v>
      </c>
    </row>
    <row r="4278" spans="1:4">
      <c r="A4278" t="str">
        <f>"38342-81X02"</f>
        <v>38342-81X02</v>
      </c>
      <c r="B4278" t="str">
        <f t="shared" si="84"/>
        <v>SEAL-OIL</v>
      </c>
      <c r="C4278">
        <v>9</v>
      </c>
      <c r="D4278">
        <v>194.208</v>
      </c>
    </row>
    <row r="4279" spans="1:4">
      <c r="A4279" t="str">
        <f>"38342-8E000"</f>
        <v>38342-8E000</v>
      </c>
      <c r="B4279" t="str">
        <f t="shared" si="84"/>
        <v>SEAL-OIL</v>
      </c>
      <c r="C4279">
        <v>23</v>
      </c>
      <c r="D4279">
        <v>147.696</v>
      </c>
    </row>
    <row r="4280" spans="1:4">
      <c r="A4280" t="str">
        <f>"38342-8E001"</f>
        <v>38342-8E001</v>
      </c>
      <c r="B4280" t="str">
        <f t="shared" si="84"/>
        <v>SEAL-OIL</v>
      </c>
      <c r="C4280">
        <v>0</v>
      </c>
      <c r="D4280">
        <v>283.56</v>
      </c>
    </row>
    <row r="4281" spans="1:4">
      <c r="A4281" t="str">
        <f>"38342-8E002"</f>
        <v>38342-8E002</v>
      </c>
      <c r="B4281" t="str">
        <f t="shared" si="84"/>
        <v>SEAL-OIL</v>
      </c>
      <c r="C4281">
        <v>5</v>
      </c>
      <c r="D4281">
        <v>306</v>
      </c>
    </row>
    <row r="4282" spans="1:4">
      <c r="A4282" t="str">
        <f>"38342-8H501"</f>
        <v>38342-8H501</v>
      </c>
      <c r="B4282" t="str">
        <f>"Сальник дифференциал"</f>
        <v>Сальник дифференциал</v>
      </c>
      <c r="C4282">
        <v>28</v>
      </c>
      <c r="D4282">
        <v>311.71199999999999</v>
      </c>
    </row>
    <row r="4283" spans="1:4">
      <c r="A4283" t="str">
        <f>"38342-8S110"</f>
        <v>38342-8S110</v>
      </c>
      <c r="B4283" t="str">
        <f>"SEAL-OIL SIDE F"</f>
        <v>SEAL-OIL SIDE F</v>
      </c>
      <c r="C4283">
        <v>42</v>
      </c>
      <c r="D4283">
        <v>814.36799999999994</v>
      </c>
    </row>
    <row r="4284" spans="1:4">
      <c r="A4284" t="str">
        <f>"38342-8Y011"</f>
        <v>38342-8Y011</v>
      </c>
      <c r="B4284" t="str">
        <f>"Сальник дифференциал"</f>
        <v>Сальник дифференциал</v>
      </c>
      <c r="C4284">
        <v>7</v>
      </c>
      <c r="D4284">
        <v>314.56799999999998</v>
      </c>
    </row>
    <row r="4285" spans="1:4">
      <c r="A4285" t="str">
        <f>"38342-AW602"</f>
        <v>38342-AW602</v>
      </c>
      <c r="B4285" t="str">
        <f>"SEAL-OIL,DIFFER"</f>
        <v>SEAL-OIL,DIFFER</v>
      </c>
      <c r="C4285">
        <v>4</v>
      </c>
      <c r="D4285">
        <v>355.77600000000001</v>
      </c>
    </row>
    <row r="4286" spans="1:4">
      <c r="A4286" t="str">
        <f>"38342-D2100"</f>
        <v>38342-D2100</v>
      </c>
      <c r="B4286" t="str">
        <f>"SEAL-OIL,DIFF"</f>
        <v>SEAL-OIL,DIFF</v>
      </c>
      <c r="C4286">
        <v>27</v>
      </c>
      <c r="D4286">
        <v>226.03200000000001</v>
      </c>
    </row>
    <row r="4287" spans="1:4">
      <c r="A4287" t="str">
        <f>"38342-EA000"</f>
        <v>38342-EA000</v>
      </c>
      <c r="B4287" t="str">
        <f>"SEAL-OIL,DIFFER"</f>
        <v>SEAL-OIL,DIFFER</v>
      </c>
      <c r="C4287">
        <v>14</v>
      </c>
      <c r="D4287">
        <v>257.85599999999999</v>
      </c>
    </row>
    <row r="4288" spans="1:4">
      <c r="A4288" t="str">
        <f>"38342-EB00A"</f>
        <v>38342-EB00A</v>
      </c>
      <c r="B4288" t="str">
        <f>"Сальник дифференциал"</f>
        <v>Сальник дифференциал</v>
      </c>
      <c r="C4288">
        <v>7</v>
      </c>
      <c r="D4288">
        <v>207.26399999999998</v>
      </c>
    </row>
    <row r="4289" spans="1:4">
      <c r="A4289" t="str">
        <f>"38342-M8001"</f>
        <v>38342-M8001</v>
      </c>
      <c r="B4289" t="str">
        <f>"SEAL-OIL DIFFER"</f>
        <v>SEAL-OIL DIFFER</v>
      </c>
      <c r="C4289">
        <v>2</v>
      </c>
      <c r="D4289">
        <v>140.76</v>
      </c>
    </row>
    <row r="4290" spans="1:4">
      <c r="A4290" t="str">
        <f>"38342-N3100"</f>
        <v>38342-N3100</v>
      </c>
      <c r="B4290" t="str">
        <f>"SEAL-OIL"</f>
        <v>SEAL-OIL</v>
      </c>
      <c r="C4290">
        <v>3</v>
      </c>
      <c r="D4290">
        <v>261.52799999999996</v>
      </c>
    </row>
    <row r="4291" spans="1:4">
      <c r="A4291" t="str">
        <f>"38342-P9010"</f>
        <v>38342-P9010</v>
      </c>
      <c r="B4291" t="str">
        <f>"Сальник дифференциал"</f>
        <v>Сальник дифференциал</v>
      </c>
      <c r="C4291">
        <v>6</v>
      </c>
      <c r="D4291">
        <v>243.57599999999996</v>
      </c>
    </row>
    <row r="4292" spans="1:4">
      <c r="A4292" t="str">
        <f>"38343-AD300"</f>
        <v>38343-AD300</v>
      </c>
      <c r="B4292" t="str">
        <f>"SEAL-O RING"</f>
        <v>SEAL-O RING</v>
      </c>
      <c r="C4292">
        <v>9</v>
      </c>
      <c r="D4292">
        <v>175.43999999999997</v>
      </c>
    </row>
    <row r="4293" spans="1:4">
      <c r="A4293" t="str">
        <f>"38411-01M64"</f>
        <v>38411-01M64</v>
      </c>
      <c r="B4293" t="str">
        <f>"CASE COMPLETE"</f>
        <v>CASE COMPLETE</v>
      </c>
      <c r="C4293">
        <v>5</v>
      </c>
      <c r="D4293">
        <v>23925.119999999999</v>
      </c>
    </row>
    <row r="4294" spans="1:4">
      <c r="A4294" t="str">
        <f>"38423-01M50"</f>
        <v>38423-01M50</v>
      </c>
      <c r="B4294" t="str">
        <f>"GEAR SIDE"</f>
        <v>GEAR SIDE</v>
      </c>
      <c r="C4294">
        <v>5</v>
      </c>
      <c r="D4294">
        <v>2352.12</v>
      </c>
    </row>
    <row r="4295" spans="1:4">
      <c r="A4295" t="str">
        <f>"38423-EA00B"</f>
        <v>38423-EA00B</v>
      </c>
      <c r="B4295" t="str">
        <f>"Шестерня редуктора м"</f>
        <v>Шестерня редуктора м</v>
      </c>
      <c r="C4295">
        <v>0</v>
      </c>
      <c r="D4295">
        <v>1935.1439999999998</v>
      </c>
    </row>
    <row r="4296" spans="1:4">
      <c r="A4296" t="str">
        <f>"38425-01M05"</f>
        <v>38425-01M05</v>
      </c>
      <c r="B4296" t="str">
        <f>"PINION MATE-DIF"</f>
        <v>PINION MATE-DIF</v>
      </c>
      <c r="C4296">
        <v>21</v>
      </c>
      <c r="D4296">
        <v>813.55200000000002</v>
      </c>
    </row>
    <row r="4297" spans="1:4">
      <c r="A4297" t="str">
        <f>"38425-EA000"</f>
        <v>38425-EA000</v>
      </c>
      <c r="B4297" t="str">
        <f>"Шестерня редуктора м"</f>
        <v>Шестерня редуктора м</v>
      </c>
      <c r="C4297">
        <v>0</v>
      </c>
      <c r="D4297">
        <v>1425.9599999999998</v>
      </c>
    </row>
    <row r="4298" spans="1:4">
      <c r="A4298" t="str">
        <f>"38427-01X02"</f>
        <v>38427-01X02</v>
      </c>
      <c r="B4298" t="str">
        <f>"SHAFT-PINION MA"</f>
        <v>SHAFT-PINION MA</v>
      </c>
      <c r="C4298">
        <v>2</v>
      </c>
      <c r="D4298">
        <v>422.68799999999999</v>
      </c>
    </row>
    <row r="4299" spans="1:4">
      <c r="A4299" t="str">
        <f>"38428-U1500"</f>
        <v>38428-U1500</v>
      </c>
      <c r="B4299" t="str">
        <f>"Направляющая муфты д"</f>
        <v>Направляющая муфты д</v>
      </c>
      <c r="C4299">
        <v>14</v>
      </c>
      <c r="D4299">
        <v>20.399999999999999</v>
      </c>
    </row>
    <row r="4300" spans="1:4">
      <c r="A4300" t="str">
        <f>"38440-0E900"</f>
        <v>38440-0E900</v>
      </c>
      <c r="B4300" t="str">
        <f>"BEARING-DIFFERE"</f>
        <v>BEARING-DIFFERE</v>
      </c>
      <c r="C4300">
        <v>11</v>
      </c>
      <c r="D4300">
        <v>942.88799999999992</v>
      </c>
    </row>
    <row r="4301" spans="1:4">
      <c r="A4301" t="str">
        <f>"38440-4N200"</f>
        <v>38440-4N200</v>
      </c>
      <c r="B4301" t="str">
        <f>"Подшипник дифференци"</f>
        <v>Подшипник дифференци</v>
      </c>
      <c r="C4301">
        <v>2</v>
      </c>
      <c r="D4301">
        <v>1202.7840000000001</v>
      </c>
    </row>
    <row r="4302" spans="1:4">
      <c r="A4302" t="str">
        <f>"38440-4N50A"</f>
        <v>38440-4N50A</v>
      </c>
      <c r="B4302" t="str">
        <f>"Подшипник дифференци"</f>
        <v>Подшипник дифференци</v>
      </c>
      <c r="C4302">
        <v>1</v>
      </c>
      <c r="D4302">
        <v>1056.72</v>
      </c>
    </row>
    <row r="4303" spans="1:4">
      <c r="A4303" t="str">
        <f>"38440-5U401"</f>
        <v>38440-5U401</v>
      </c>
      <c r="B4303" t="str">
        <f>"BRG TAPER"</f>
        <v>BRG TAPER</v>
      </c>
      <c r="C4303">
        <v>48</v>
      </c>
      <c r="D4303">
        <v>1098.336</v>
      </c>
    </row>
    <row r="4304" spans="1:4">
      <c r="A4304" t="str">
        <f>"38440-60000"</f>
        <v>38440-60000</v>
      </c>
      <c r="B4304" t="str">
        <f>"BEARING-DIFFERE"</f>
        <v>BEARING-DIFFERE</v>
      </c>
      <c r="C4304">
        <v>6</v>
      </c>
      <c r="D4304">
        <v>950.64</v>
      </c>
    </row>
    <row r="4305" spans="1:4">
      <c r="A4305" t="str">
        <f>"38440-6J001"</f>
        <v>38440-6J001</v>
      </c>
      <c r="B4305" t="str">
        <f>"BRG TAPER"</f>
        <v>BRG TAPER</v>
      </c>
      <c r="C4305">
        <v>17</v>
      </c>
      <c r="D4305">
        <v>1101.192</v>
      </c>
    </row>
    <row r="4306" spans="1:4">
      <c r="A4306" t="str">
        <f>"38440-79E10"</f>
        <v>38440-79E10</v>
      </c>
      <c r="B4306" t="str">
        <f>"BEARING-DIFFERE"</f>
        <v>BEARING-DIFFERE</v>
      </c>
      <c r="C4306">
        <v>5</v>
      </c>
      <c r="D4306">
        <v>2167.2959999999998</v>
      </c>
    </row>
    <row r="4307" spans="1:4">
      <c r="A4307" t="str">
        <f>"38440-7S000"</f>
        <v>38440-7S000</v>
      </c>
      <c r="B4307" t="str">
        <f>"Подшипник дифференци"</f>
        <v>Подшипник дифференци</v>
      </c>
      <c r="C4307">
        <v>4</v>
      </c>
      <c r="D4307">
        <v>2507.5679999999998</v>
      </c>
    </row>
    <row r="4308" spans="1:4">
      <c r="A4308" t="str">
        <f>"38440-96E00"</f>
        <v>38440-96E00</v>
      </c>
      <c r="B4308" t="str">
        <f>"BRG TAPER"</f>
        <v>BRG TAPER</v>
      </c>
      <c r="C4308">
        <v>19</v>
      </c>
      <c r="D4308">
        <v>1024.08</v>
      </c>
    </row>
    <row r="4309" spans="1:4">
      <c r="A4309" t="str">
        <f>"38440-AD300"</f>
        <v>38440-AD300</v>
      </c>
      <c r="B4309" t="str">
        <f>"Подшипник дифференци"</f>
        <v>Подшипник дифференци</v>
      </c>
      <c r="C4309">
        <v>2</v>
      </c>
      <c r="D4309">
        <v>898.00800000000004</v>
      </c>
    </row>
    <row r="4310" spans="1:4">
      <c r="A4310" t="str">
        <f>"38440-AX000"</f>
        <v>38440-AX000</v>
      </c>
      <c r="B4310" t="str">
        <f>"BRG ASSY DIFF"</f>
        <v>BRG ASSY DIFF</v>
      </c>
      <c r="C4310">
        <v>4</v>
      </c>
      <c r="D4310">
        <v>571.60799999999995</v>
      </c>
    </row>
    <row r="4311" spans="1:4">
      <c r="A4311" t="str">
        <f>"38440-D2100"</f>
        <v>38440-D2100</v>
      </c>
      <c r="B4311" t="str">
        <f>"BRG TAPER"</f>
        <v>BRG TAPER</v>
      </c>
      <c r="C4311">
        <v>16</v>
      </c>
      <c r="D4311">
        <v>980.01599999999985</v>
      </c>
    </row>
    <row r="4312" spans="1:4">
      <c r="A4312" t="str">
        <f>"38440-EA000"</f>
        <v>38440-EA000</v>
      </c>
      <c r="B4312" t="str">
        <f>"Подшипник дифференци"</f>
        <v>Подшипник дифференци</v>
      </c>
      <c r="C4312">
        <v>5</v>
      </c>
      <c r="D4312">
        <v>756.43200000000002</v>
      </c>
    </row>
    <row r="4313" spans="1:4">
      <c r="A4313" t="str">
        <f>"38440-EA500"</f>
        <v>38440-EA500</v>
      </c>
      <c r="B4313" t="str">
        <f>"Подшипник дифференци"</f>
        <v>Подшипник дифференци</v>
      </c>
      <c r="C4313">
        <v>3</v>
      </c>
      <c r="D4313">
        <v>790.29600000000005</v>
      </c>
    </row>
    <row r="4314" spans="1:4">
      <c r="A4314" t="str">
        <f>"38440-N3111"</f>
        <v>38440-N3111</v>
      </c>
      <c r="B4314" t="str">
        <f>"BEARING-DIFFERE"</f>
        <v>BEARING-DIFFERE</v>
      </c>
      <c r="C4314">
        <v>3</v>
      </c>
      <c r="D4314">
        <v>1230.9359999999999</v>
      </c>
    </row>
    <row r="4315" spans="1:4">
      <c r="A4315" t="str">
        <f>"38481-8S160"</f>
        <v>38481-8S160</v>
      </c>
      <c r="B4315" t="str">
        <f>"Датчик включения зад"</f>
        <v>Датчик включения зад</v>
      </c>
      <c r="C4315">
        <v>15</v>
      </c>
      <c r="D4315">
        <v>770.30399999999997</v>
      </c>
    </row>
    <row r="4316" spans="1:4">
      <c r="A4316" t="str">
        <f>"38500-8S11B"</f>
        <v>38500-8S11B</v>
      </c>
      <c r="B4316" t="str">
        <f>"Редуктор моста"</f>
        <v>Редуктор моста</v>
      </c>
      <c r="C4316">
        <v>4</v>
      </c>
      <c r="D4316">
        <v>64029.071999999993</v>
      </c>
    </row>
    <row r="4317" spans="1:4">
      <c r="A4317" t="str">
        <f>"38500-EA400"</f>
        <v>38500-EA400</v>
      </c>
      <c r="B4317" t="str">
        <f>"Редуктор моста"</f>
        <v>Редуктор моста</v>
      </c>
      <c r="C4317">
        <v>8</v>
      </c>
      <c r="D4317">
        <v>65739</v>
      </c>
    </row>
    <row r="4318" spans="1:4">
      <c r="A4318" t="str">
        <f>"39100-1AA0B"</f>
        <v>39100-1AA0B</v>
      </c>
      <c r="B4318" t="str">
        <f>"Привод передний в сб"</f>
        <v>Привод передний в сб</v>
      </c>
      <c r="C4318">
        <v>1</v>
      </c>
      <c r="D4318">
        <v>24092.808000000001</v>
      </c>
    </row>
    <row r="4319" spans="1:4">
      <c r="A4319" t="str">
        <f>"39100-7S000"</f>
        <v>39100-7S000</v>
      </c>
      <c r="B4319" t="str">
        <f>"Привод передний в сб"</f>
        <v>Привод передний в сб</v>
      </c>
      <c r="C4319">
        <v>5</v>
      </c>
      <c r="D4319">
        <v>19649.28</v>
      </c>
    </row>
    <row r="4320" spans="1:4">
      <c r="A4320" t="str">
        <f>"39100-8H615"</f>
        <v>39100-8H615</v>
      </c>
      <c r="B4320" t="str">
        <f>"SHAFT ASSY-FRON"</f>
        <v>SHAFT ASSY-FRON</v>
      </c>
      <c r="C4320">
        <v>3</v>
      </c>
      <c r="D4320">
        <v>19903.056</v>
      </c>
    </row>
    <row r="4321" spans="1:4">
      <c r="A4321" t="str">
        <f>"39100-8H715"</f>
        <v>39100-8H715</v>
      </c>
      <c r="B4321" t="str">
        <f t="shared" ref="B4321:B4329" si="85">"Привод передний в сб"</f>
        <v>Привод передний в сб</v>
      </c>
      <c r="C4321">
        <v>2</v>
      </c>
      <c r="D4321">
        <v>20252.303999999996</v>
      </c>
    </row>
    <row r="4322" spans="1:4">
      <c r="A4322" t="str">
        <f>"39100-95F0C"</f>
        <v>39100-95F0C</v>
      </c>
      <c r="B4322" t="str">
        <f t="shared" si="85"/>
        <v>Привод передний в сб</v>
      </c>
      <c r="C4322">
        <v>6</v>
      </c>
      <c r="D4322">
        <v>18353.879999999997</v>
      </c>
    </row>
    <row r="4323" spans="1:4">
      <c r="A4323" t="str">
        <f>"39100-9Y115"</f>
        <v>39100-9Y115</v>
      </c>
      <c r="B4323" t="str">
        <f t="shared" si="85"/>
        <v>Привод передний в сб</v>
      </c>
      <c r="C4323">
        <v>1</v>
      </c>
      <c r="D4323">
        <v>23250.696</v>
      </c>
    </row>
    <row r="4324" spans="1:4">
      <c r="A4324" t="str">
        <f>"39100-AY15A"</f>
        <v>39100-AY15A</v>
      </c>
      <c r="B4324" t="str">
        <f t="shared" si="85"/>
        <v>Привод передний в сб</v>
      </c>
      <c r="C4324">
        <v>4</v>
      </c>
      <c r="D4324">
        <v>20105.831999999999</v>
      </c>
    </row>
    <row r="4325" spans="1:4">
      <c r="A4325" t="str">
        <f>"39100-BM560"</f>
        <v>39100-BM560</v>
      </c>
      <c r="B4325" t="str">
        <f t="shared" si="85"/>
        <v>Привод передний в сб</v>
      </c>
      <c r="C4325">
        <v>5</v>
      </c>
      <c r="D4325">
        <v>22476.311999999998</v>
      </c>
    </row>
    <row r="4326" spans="1:4">
      <c r="A4326" t="str">
        <f>"39100-CC40B"</f>
        <v>39100-CC40B</v>
      </c>
      <c r="B4326" t="str">
        <f t="shared" si="85"/>
        <v>Привод передний в сб</v>
      </c>
      <c r="C4326">
        <v>3</v>
      </c>
      <c r="D4326">
        <v>21860.639999999999</v>
      </c>
    </row>
    <row r="4327" spans="1:4">
      <c r="A4327" t="str">
        <f>"39100-EB300"</f>
        <v>39100-EB300</v>
      </c>
      <c r="B4327" t="str">
        <f t="shared" si="85"/>
        <v>Привод передний в сб</v>
      </c>
      <c r="C4327">
        <v>0</v>
      </c>
      <c r="D4327">
        <v>21995.688000000002</v>
      </c>
    </row>
    <row r="4328" spans="1:4">
      <c r="A4328" t="str">
        <f>"39100-EB310"</f>
        <v>39100-EB310</v>
      </c>
      <c r="B4328" t="str">
        <f t="shared" si="85"/>
        <v>Привод передний в сб</v>
      </c>
      <c r="C4328">
        <v>4</v>
      </c>
      <c r="D4328">
        <v>20839.416000000001</v>
      </c>
    </row>
    <row r="4329" spans="1:4">
      <c r="A4329" t="str">
        <f>"39100-JG04C"</f>
        <v>39100-JG04C</v>
      </c>
      <c r="B4329" t="str">
        <f t="shared" si="85"/>
        <v>Привод передний в сб</v>
      </c>
      <c r="C4329">
        <v>1</v>
      </c>
      <c r="D4329">
        <v>21566.064000000002</v>
      </c>
    </row>
    <row r="4330" spans="1:4">
      <c r="A4330" t="str">
        <f>"39100-VB001"</f>
        <v>39100-VB001</v>
      </c>
      <c r="B4330" t="str">
        <f>"SHAFT ASSY-FRON"</f>
        <v>SHAFT ASSY-FRON</v>
      </c>
      <c r="C4330">
        <v>3</v>
      </c>
      <c r="D4330">
        <v>20674.583999999999</v>
      </c>
    </row>
    <row r="4331" spans="1:4">
      <c r="A4331" t="str">
        <f>"39101-1AA0A"</f>
        <v>39101-1AA0A</v>
      </c>
      <c r="B4331" t="str">
        <f>"Привод передний в сб"</f>
        <v>Привод передний в сб</v>
      </c>
      <c r="C4331">
        <v>2</v>
      </c>
      <c r="D4331">
        <v>22773.743999999999</v>
      </c>
    </row>
    <row r="4332" spans="1:4">
      <c r="A4332" t="str">
        <f>"39101-1CB0A"</f>
        <v>39101-1CB0A</v>
      </c>
      <c r="B4332" t="str">
        <f>"Привод в сборе"</f>
        <v>Привод в сборе</v>
      </c>
      <c r="C4332">
        <v>1</v>
      </c>
      <c r="D4332">
        <v>24807.624</v>
      </c>
    </row>
    <row r="4333" spans="1:4">
      <c r="A4333" t="str">
        <f>"39101-2F011"</f>
        <v>39101-2F011</v>
      </c>
      <c r="B4333" t="str">
        <f>"SHAFT ASSY-FRON"</f>
        <v>SHAFT ASSY-FRON</v>
      </c>
      <c r="C4333">
        <v>3</v>
      </c>
      <c r="D4333">
        <v>20034.432000000001</v>
      </c>
    </row>
    <row r="4334" spans="1:4">
      <c r="A4334" t="str">
        <f>"39101-2Y976"</f>
        <v>39101-2Y976</v>
      </c>
      <c r="B4334" t="str">
        <f>"Привод передний в сб"</f>
        <v>Привод передний в сб</v>
      </c>
      <c r="C4334">
        <v>2</v>
      </c>
      <c r="D4334">
        <v>18441.599999999999</v>
      </c>
    </row>
    <row r="4335" spans="1:4">
      <c r="A4335" t="str">
        <f>"39101-8H315"</f>
        <v>39101-8H315</v>
      </c>
      <c r="B4335" t="str">
        <f>"SFT ASSY-DRIVE"</f>
        <v>SFT ASSY-DRIVE</v>
      </c>
      <c r="C4335">
        <v>1</v>
      </c>
      <c r="D4335">
        <v>20200.896000000001</v>
      </c>
    </row>
    <row r="4336" spans="1:4">
      <c r="A4336" t="str">
        <f>"39101-8H710"</f>
        <v>39101-8H710</v>
      </c>
      <c r="B4336" t="str">
        <f>"SFT ASSY-DRIVE"</f>
        <v>SFT ASSY-DRIVE</v>
      </c>
      <c r="C4336">
        <v>0</v>
      </c>
      <c r="D4336">
        <v>20025.864000000001</v>
      </c>
    </row>
    <row r="4337" spans="1:4">
      <c r="A4337" t="str">
        <f>"39101-95F0A"</f>
        <v>39101-95F0A</v>
      </c>
      <c r="B4337" t="str">
        <f>"Привод передний в сб"</f>
        <v>Привод передний в сб</v>
      </c>
      <c r="C4337">
        <v>2</v>
      </c>
      <c r="D4337">
        <v>18078.887999999999</v>
      </c>
    </row>
    <row r="4338" spans="1:4">
      <c r="A4338" t="str">
        <f>"39101-BM560"</f>
        <v>39101-BM560</v>
      </c>
      <c r="B4338" t="str">
        <f>"Привод передний в сб"</f>
        <v>Привод передний в сб</v>
      </c>
      <c r="C4338">
        <v>4</v>
      </c>
      <c r="D4338">
        <v>19511.376</v>
      </c>
    </row>
    <row r="4339" spans="1:4">
      <c r="A4339" t="str">
        <f>"39101-EL10A"</f>
        <v>39101-EL10A</v>
      </c>
      <c r="B4339" t="str">
        <f>"Привод передний в сб"</f>
        <v>Привод передний в сб</v>
      </c>
      <c r="C4339">
        <v>2</v>
      </c>
      <c r="D4339">
        <v>13750.008</v>
      </c>
    </row>
    <row r="4340" spans="1:4">
      <c r="A4340" t="str">
        <f>"39101-VB001"</f>
        <v>39101-VB001</v>
      </c>
      <c r="B4340" t="str">
        <f>"SHAFT ASSY-FRON"</f>
        <v>SHAFT ASSY-FRON</v>
      </c>
      <c r="C4340">
        <v>4</v>
      </c>
      <c r="D4340">
        <v>21671.735999999997</v>
      </c>
    </row>
    <row r="4341" spans="1:4">
      <c r="A4341" t="str">
        <f>"39202-60Y56"</f>
        <v>39202-60Y56</v>
      </c>
      <c r="B4341" t="str">
        <f>"SHAFT-FR DRIVE"</f>
        <v>SHAFT-FR DRIVE</v>
      </c>
      <c r="C4341">
        <v>1</v>
      </c>
      <c r="D4341">
        <v>3785.424</v>
      </c>
    </row>
    <row r="4342" spans="1:4">
      <c r="A4342" t="str">
        <f>"39204-2F026"</f>
        <v>39204-2F026</v>
      </c>
      <c r="B4342" t="str">
        <f>"SHAFT-FRONT DRI"</f>
        <v>SHAFT-FRONT DRI</v>
      </c>
      <c r="C4342">
        <v>2</v>
      </c>
      <c r="D4342">
        <v>13056</v>
      </c>
    </row>
    <row r="4343" spans="1:4">
      <c r="A4343" t="str">
        <f>"39204-31U00"</f>
        <v>39204-31U00</v>
      </c>
      <c r="B4343" t="str">
        <f>"SHAFT-FRONT DRI"</f>
        <v>SHAFT-FRONT DRI</v>
      </c>
      <c r="C4343">
        <v>3</v>
      </c>
      <c r="D4343">
        <v>4409.6639999999998</v>
      </c>
    </row>
    <row r="4344" spans="1:4">
      <c r="A4344" t="str">
        <f>"39204-AV325"</f>
        <v>39204-AV325</v>
      </c>
      <c r="B4344" t="str">
        <f>"SHAFT-FRONT DRI"</f>
        <v>SHAFT-FRONT DRI</v>
      </c>
      <c r="C4344">
        <v>2</v>
      </c>
      <c r="D4344">
        <v>13549.679999999998</v>
      </c>
    </row>
    <row r="4345" spans="1:4">
      <c r="A4345" t="str">
        <f>"39204-BM526"</f>
        <v>39204-BM526</v>
      </c>
      <c r="B4345" t="str">
        <f>"SHAFT-FRONT DRI"</f>
        <v>SHAFT-FRONT DRI</v>
      </c>
      <c r="C4345">
        <v>1</v>
      </c>
      <c r="D4345">
        <v>10689.6</v>
      </c>
    </row>
    <row r="4346" spans="1:4">
      <c r="A4346" t="str">
        <f>"39204-BM527"</f>
        <v>39204-BM527</v>
      </c>
      <c r="B4346" t="str">
        <f>"Вал привода"</f>
        <v>Вал привода</v>
      </c>
      <c r="C4346">
        <v>2</v>
      </c>
      <c r="D4346">
        <v>15306.528</v>
      </c>
    </row>
    <row r="4347" spans="1:4">
      <c r="A4347" t="str">
        <f>"39205-61E50"</f>
        <v>39205-61E50</v>
      </c>
      <c r="B4347" t="str">
        <f>"SHAFT SUB ASSY"</f>
        <v>SHAFT SUB ASSY</v>
      </c>
      <c r="C4347">
        <v>15</v>
      </c>
      <c r="D4347">
        <v>4317.8639999999996</v>
      </c>
    </row>
    <row r="4348" spans="1:4">
      <c r="A4348" t="str">
        <f>"39205-9U00J"</f>
        <v>39205-9U00J</v>
      </c>
      <c r="B4348" t="str">
        <f>"Вал привода"</f>
        <v>Вал привода</v>
      </c>
      <c r="C4348">
        <v>3</v>
      </c>
      <c r="D4348">
        <v>14039.688</v>
      </c>
    </row>
    <row r="4349" spans="1:4">
      <c r="A4349" t="str">
        <f>"39205-AU026"</f>
        <v>39205-AU026</v>
      </c>
      <c r="B4349" t="str">
        <f>"SHAFT-FRONT DRI"</f>
        <v>SHAFT-FRONT DRI</v>
      </c>
      <c r="C4349">
        <v>3</v>
      </c>
      <c r="D4349">
        <v>12198.791999999999</v>
      </c>
    </row>
    <row r="4350" spans="1:4">
      <c r="A4350" t="str">
        <f>"39205-BM525"</f>
        <v>39205-BM525</v>
      </c>
      <c r="B4350" t="str">
        <f>"Вал привода"</f>
        <v>Вал привода</v>
      </c>
      <c r="C4350">
        <v>4</v>
      </c>
      <c r="D4350">
        <v>12068.640000000001</v>
      </c>
    </row>
    <row r="4351" spans="1:4">
      <c r="A4351" t="str">
        <f>"39211-1AA0A"</f>
        <v>39211-1AA0A</v>
      </c>
      <c r="B4351" t="str">
        <f>"Шрус наружный"</f>
        <v>Шрус наружный</v>
      </c>
      <c r="C4351">
        <v>4</v>
      </c>
      <c r="D4351">
        <v>8689.9920000000002</v>
      </c>
    </row>
    <row r="4352" spans="1:4">
      <c r="A4352" t="str">
        <f>"39211-2Y070"</f>
        <v>39211-2Y070</v>
      </c>
      <c r="B4352" t="str">
        <f>"JOINT ASSY-OUTE"</f>
        <v>JOINT ASSY-OUTE</v>
      </c>
      <c r="C4352">
        <v>3</v>
      </c>
      <c r="D4352">
        <v>8273.8319999999985</v>
      </c>
    </row>
    <row r="4353" spans="1:4">
      <c r="A4353" t="str">
        <f>"39211-2Y210"</f>
        <v>39211-2Y210</v>
      </c>
      <c r="B4353" t="str">
        <f>"JOINT ASSY-OUTE"</f>
        <v>JOINT ASSY-OUTE</v>
      </c>
      <c r="C4353">
        <v>2</v>
      </c>
      <c r="D4353">
        <v>6324</v>
      </c>
    </row>
    <row r="4354" spans="1:4">
      <c r="A4354" t="str">
        <f>"39211-31U10"</f>
        <v>39211-31U10</v>
      </c>
      <c r="B4354" t="str">
        <f>"JOINT ASSY-OUTE"</f>
        <v>JOINT ASSY-OUTE</v>
      </c>
      <c r="C4354">
        <v>1</v>
      </c>
      <c r="D4354">
        <v>8195.9040000000005</v>
      </c>
    </row>
    <row r="4355" spans="1:4">
      <c r="A4355" t="str">
        <f>"39211-58G60"</f>
        <v>39211-58G60</v>
      </c>
      <c r="B4355" t="str">
        <f>"JOINT ASSY-OUTE"</f>
        <v>JOINT ASSY-OUTE</v>
      </c>
      <c r="C4355">
        <v>0</v>
      </c>
      <c r="D4355">
        <v>7256.6879999999992</v>
      </c>
    </row>
    <row r="4356" spans="1:4">
      <c r="A4356" t="str">
        <f>"39211-5V410"</f>
        <v>39211-5V410</v>
      </c>
      <c r="B4356" t="str">
        <f>"ШРУС наружный"</f>
        <v>ШРУС наружный</v>
      </c>
      <c r="C4356">
        <v>2</v>
      </c>
      <c r="D4356">
        <v>7958.0399999999991</v>
      </c>
    </row>
    <row r="4357" spans="1:4">
      <c r="A4357" t="str">
        <f>"39211-60Y10"</f>
        <v>39211-60Y10</v>
      </c>
      <c r="B4357" t="str">
        <f>"JOINT ASSY-OUTE"</f>
        <v>JOINT ASSY-OUTE</v>
      </c>
      <c r="C4357">
        <v>1</v>
      </c>
      <c r="D4357">
        <v>6971.4960000000001</v>
      </c>
    </row>
    <row r="4358" spans="1:4">
      <c r="A4358" t="str">
        <f>"39211-8H510"</f>
        <v>39211-8H510</v>
      </c>
      <c r="B4358" t="str">
        <f>"JOINT ASSY"</f>
        <v>JOINT ASSY</v>
      </c>
      <c r="C4358">
        <v>0</v>
      </c>
      <c r="D4358">
        <v>7064.52</v>
      </c>
    </row>
    <row r="4359" spans="1:4">
      <c r="A4359" t="str">
        <f>"39211-9Y015"</f>
        <v>39211-9Y015</v>
      </c>
      <c r="B4359" t="str">
        <f>"ШРУС наружный"</f>
        <v>ШРУС наружный</v>
      </c>
      <c r="C4359">
        <v>3</v>
      </c>
      <c r="D4359">
        <v>8133.0720000000001</v>
      </c>
    </row>
    <row r="4360" spans="1:4">
      <c r="A4360" t="str">
        <f>"39211-BC50J"</f>
        <v>39211-BC50J</v>
      </c>
      <c r="B4360" t="str">
        <f>"ШРУС наружный"</f>
        <v>ШРУС наружный</v>
      </c>
      <c r="C4360">
        <v>9</v>
      </c>
      <c r="D4360">
        <v>6701.808</v>
      </c>
    </row>
    <row r="4361" spans="1:4">
      <c r="A4361" t="str">
        <f>"39211-BM525"</f>
        <v>39211-BM525</v>
      </c>
      <c r="B4361" t="str">
        <f>"JOINT ASSY-OUTE"</f>
        <v>JOINT ASSY-OUTE</v>
      </c>
      <c r="C4361">
        <v>2</v>
      </c>
      <c r="D4361">
        <v>7032.2879999999996</v>
      </c>
    </row>
    <row r="4362" spans="1:4">
      <c r="A4362" t="str">
        <f>"39211-BM529"</f>
        <v>39211-BM529</v>
      </c>
      <c r="B4362" t="str">
        <f t="shared" ref="B4362:B4367" si="86">"ШРУС наружный"</f>
        <v>ШРУС наружный</v>
      </c>
      <c r="C4362">
        <v>32</v>
      </c>
      <c r="D4362">
        <v>6678.1439999999993</v>
      </c>
    </row>
    <row r="4363" spans="1:4">
      <c r="A4363" t="str">
        <f>"39211-BM560"</f>
        <v>39211-BM560</v>
      </c>
      <c r="B4363" t="str">
        <f t="shared" si="86"/>
        <v>ШРУС наружный</v>
      </c>
      <c r="C4363">
        <v>6</v>
      </c>
      <c r="D4363">
        <v>7032.2879999999996</v>
      </c>
    </row>
    <row r="4364" spans="1:4">
      <c r="A4364" t="str">
        <f>"39211-BM580"</f>
        <v>39211-BM580</v>
      </c>
      <c r="B4364" t="str">
        <f t="shared" si="86"/>
        <v>ШРУС наружный</v>
      </c>
      <c r="C4364">
        <v>12</v>
      </c>
      <c r="D4364">
        <v>6515.76</v>
      </c>
    </row>
    <row r="4365" spans="1:4">
      <c r="A4365" t="str">
        <f>"39211-BM727"</f>
        <v>39211-BM727</v>
      </c>
      <c r="B4365" t="str">
        <f t="shared" si="86"/>
        <v>ШРУС наружный</v>
      </c>
      <c r="C4365">
        <v>1</v>
      </c>
      <c r="D4365">
        <v>7896.8399999999992</v>
      </c>
    </row>
    <row r="4366" spans="1:4">
      <c r="A4366" t="str">
        <f>"39211-BN815"</f>
        <v>39211-BN815</v>
      </c>
      <c r="B4366" t="str">
        <f t="shared" si="86"/>
        <v>ШРУС наружный</v>
      </c>
      <c r="C4366">
        <v>3</v>
      </c>
      <c r="D4366">
        <v>6311.76</v>
      </c>
    </row>
    <row r="4367" spans="1:4">
      <c r="A4367" t="str">
        <f>"39211-CA100"</f>
        <v>39211-CA100</v>
      </c>
      <c r="B4367" t="str">
        <f t="shared" si="86"/>
        <v>ШРУС наружный</v>
      </c>
      <c r="C4367">
        <v>6</v>
      </c>
      <c r="D4367">
        <v>8165.7119999999995</v>
      </c>
    </row>
    <row r="4368" spans="1:4">
      <c r="A4368" t="str">
        <f>"39211-CG000"</f>
        <v>39211-CG000</v>
      </c>
      <c r="B4368" t="str">
        <f>"JOINT ASSY-OUTE"</f>
        <v>JOINT ASSY-OUTE</v>
      </c>
      <c r="C4368">
        <v>2</v>
      </c>
      <c r="D4368">
        <v>9098.4</v>
      </c>
    </row>
    <row r="4369" spans="1:4">
      <c r="A4369" t="str">
        <f>"39211-CN000"</f>
        <v>39211-CN000</v>
      </c>
      <c r="B4369" t="str">
        <f>"Шрус наружний ле"</f>
        <v>Шрус наружний ле</v>
      </c>
      <c r="C4369">
        <v>2</v>
      </c>
      <c r="D4369">
        <v>8304.0239999999994</v>
      </c>
    </row>
    <row r="4370" spans="1:4">
      <c r="A4370" t="str">
        <f>"39211-EG000"</f>
        <v>39211-EG000</v>
      </c>
      <c r="B4370" t="str">
        <f>"ШРУС наружный"</f>
        <v>ШРУС наружный</v>
      </c>
      <c r="C4370">
        <v>10</v>
      </c>
      <c r="D4370">
        <v>8730.7919999999995</v>
      </c>
    </row>
    <row r="4371" spans="1:4">
      <c r="A4371" t="str">
        <f>"39211-JA00A"</f>
        <v>39211-JA00A</v>
      </c>
      <c r="B4371" t="str">
        <f>"ШРУС наружный"</f>
        <v>ШРУС наружный</v>
      </c>
      <c r="C4371">
        <v>7</v>
      </c>
      <c r="D4371">
        <v>7662.6479999999992</v>
      </c>
    </row>
    <row r="4372" spans="1:4">
      <c r="A4372" t="str">
        <f>"39234-01E00"</f>
        <v>39234-01E00</v>
      </c>
      <c r="B4372" t="str">
        <f>"RING SNAP BRG"</f>
        <v>RING SNAP BRG</v>
      </c>
      <c r="C4372">
        <v>0</v>
      </c>
      <c r="D4372">
        <v>32.64</v>
      </c>
    </row>
    <row r="4373" spans="1:4">
      <c r="A4373" t="str">
        <f>"39241-05U86"</f>
        <v>39241-05U86</v>
      </c>
      <c r="B4373" t="str">
        <f>"REPAIR KIT"</f>
        <v>REPAIR KIT</v>
      </c>
      <c r="C4373">
        <v>8</v>
      </c>
      <c r="D4373">
        <v>1396.1759999999999</v>
      </c>
    </row>
    <row r="4374" spans="1:4">
      <c r="A4374" t="str">
        <f>"39241-0F00A"</f>
        <v>39241-0F00A</v>
      </c>
      <c r="B4374" t="str">
        <f>"Пыльник ШРУСа наружн"</f>
        <v>Пыльник ШРУСа наружн</v>
      </c>
      <c r="C4374">
        <v>2</v>
      </c>
      <c r="D4374">
        <v>2194.2239999999997</v>
      </c>
    </row>
    <row r="4375" spans="1:4">
      <c r="A4375" t="str">
        <f>"39241-0M326"</f>
        <v>39241-0M326</v>
      </c>
      <c r="B4375" t="str">
        <f>"COMBINATION KIT"</f>
        <v>COMBINATION KIT</v>
      </c>
      <c r="C4375">
        <v>2</v>
      </c>
      <c r="D4375">
        <v>1514.088</v>
      </c>
    </row>
    <row r="4376" spans="1:4">
      <c r="A4376" t="str">
        <f>"39241-0M625"</f>
        <v>39241-0M625</v>
      </c>
      <c r="B4376" t="str">
        <f>"COMBINATION KIT"</f>
        <v>COMBINATION KIT</v>
      </c>
      <c r="C4376">
        <v>8</v>
      </c>
      <c r="D4376">
        <v>1558.152</v>
      </c>
    </row>
    <row r="4377" spans="1:4">
      <c r="A4377" t="str">
        <f>"39241-0M6B0"</f>
        <v>39241-0M6B0</v>
      </c>
      <c r="B4377" t="str">
        <f>"Пыльник ШРУСа B14 HY"</f>
        <v>Пыльник ШРУСа B14 HY</v>
      </c>
      <c r="C4377">
        <v>3</v>
      </c>
      <c r="D4377">
        <v>897.6</v>
      </c>
    </row>
    <row r="4378" spans="1:4">
      <c r="A4378" t="str">
        <f>"39241-10E86"</f>
        <v>39241-10E86</v>
      </c>
      <c r="B4378" t="str">
        <f>"COMBINATION KIT"</f>
        <v>COMBINATION KIT</v>
      </c>
      <c r="C4378">
        <v>29</v>
      </c>
      <c r="D4378">
        <v>1649.5439999999999</v>
      </c>
    </row>
    <row r="4379" spans="1:4">
      <c r="A4379" t="str">
        <f>"39241-23U26"</f>
        <v>39241-23U26</v>
      </c>
      <c r="B4379" t="str">
        <f>"Пыльник ШРУСа наружн"</f>
        <v>Пыльник ШРУСа наружн</v>
      </c>
      <c r="C4379">
        <v>2</v>
      </c>
      <c r="D4379">
        <v>1440.24</v>
      </c>
    </row>
    <row r="4380" spans="1:4">
      <c r="A4380" t="str">
        <f>"39241-2U625"</f>
        <v>39241-2U625</v>
      </c>
      <c r="B4380" t="str">
        <f>"REPAIR KIT-DUST"</f>
        <v>REPAIR KIT-DUST</v>
      </c>
      <c r="C4380">
        <v>10</v>
      </c>
      <c r="D4380">
        <v>1401.8879999999999</v>
      </c>
    </row>
    <row r="4381" spans="1:4">
      <c r="A4381" t="str">
        <f>"39241-53J28"</f>
        <v>39241-53J28</v>
      </c>
      <c r="B4381" t="str">
        <f>"COMBINATION KIT"</f>
        <v>COMBINATION KIT</v>
      </c>
      <c r="C4381">
        <v>6</v>
      </c>
      <c r="D4381">
        <v>1616.088</v>
      </c>
    </row>
    <row r="4382" spans="1:4">
      <c r="A4382" t="str">
        <f>"39241-5V026"</f>
        <v>39241-5V026</v>
      </c>
      <c r="B4382" t="str">
        <f>"REPAIR KIT-DUST"</f>
        <v>REPAIR KIT-DUST</v>
      </c>
      <c r="C4382">
        <v>4</v>
      </c>
      <c r="D4382">
        <v>1640.568</v>
      </c>
    </row>
    <row r="4383" spans="1:4">
      <c r="A4383" t="str">
        <f>"39241-5V125"</f>
        <v>39241-5V125</v>
      </c>
      <c r="B4383" t="str">
        <f>"COMBINATION KIT"</f>
        <v>COMBINATION KIT</v>
      </c>
      <c r="C4383">
        <v>11</v>
      </c>
      <c r="D4383">
        <v>1593.24</v>
      </c>
    </row>
    <row r="4384" spans="1:4">
      <c r="A4384" t="str">
        <f>"39241-7S025"</f>
        <v>39241-7S025</v>
      </c>
      <c r="B4384" t="str">
        <f>"REPAIR KIT-DUST"</f>
        <v>REPAIR KIT-DUST</v>
      </c>
      <c r="C4384">
        <v>8</v>
      </c>
      <c r="D4384">
        <v>1403.9280000000001</v>
      </c>
    </row>
    <row r="4385" spans="1:4">
      <c r="A4385" t="str">
        <f>"39241-8V125"</f>
        <v>39241-8V125</v>
      </c>
      <c r="B4385" t="str">
        <f>"COMBINATION KIT"</f>
        <v>COMBINATION KIT</v>
      </c>
      <c r="C4385">
        <v>4</v>
      </c>
      <c r="D4385">
        <v>1245.624</v>
      </c>
    </row>
    <row r="4386" spans="1:4">
      <c r="A4386" t="str">
        <f>"39241-9Y029"</f>
        <v>39241-9Y029</v>
      </c>
      <c r="B4386" t="str">
        <f>"Пыльник ШРУСа наружн"</f>
        <v>Пыльник ШРУСа наружн</v>
      </c>
      <c r="C4386">
        <v>0</v>
      </c>
      <c r="D4386">
        <v>1393.7280000000001</v>
      </c>
    </row>
    <row r="4387" spans="1:4">
      <c r="A4387" t="str">
        <f>"39241-AY125"</f>
        <v>39241-AY125</v>
      </c>
      <c r="B4387" t="str">
        <f>"REPAIR KIT-DUST"</f>
        <v>REPAIR KIT-DUST</v>
      </c>
      <c r="C4387">
        <v>3</v>
      </c>
      <c r="D4387">
        <v>1160.76</v>
      </c>
    </row>
    <row r="4388" spans="1:4">
      <c r="A4388" t="str">
        <f>"39241-AY126"</f>
        <v>39241-AY126</v>
      </c>
      <c r="B4388" t="str">
        <f>"Пыльник ШРУСа наружн"</f>
        <v>Пыльник ШРУСа наружн</v>
      </c>
      <c r="C4388">
        <v>7</v>
      </c>
      <c r="D4388">
        <v>857.20799999999997</v>
      </c>
    </row>
    <row r="4389" spans="1:4">
      <c r="A4389" t="str">
        <f>"39241-BM525"</f>
        <v>39241-BM525</v>
      </c>
      <c r="B4389" t="str">
        <f>"REPAIR KIT-DUST"</f>
        <v>REPAIR KIT-DUST</v>
      </c>
      <c r="C4389">
        <v>2</v>
      </c>
      <c r="D4389">
        <v>1176.6719999999998</v>
      </c>
    </row>
    <row r="4390" spans="1:4">
      <c r="A4390" t="str">
        <f>"39241-BM529"</f>
        <v>39241-BM529</v>
      </c>
      <c r="B4390" t="str">
        <f>"Пыльник ШРУСа наружн"</f>
        <v>Пыльник ШРУСа наружн</v>
      </c>
      <c r="C4390">
        <v>7</v>
      </c>
      <c r="D4390">
        <v>795.19199999999989</v>
      </c>
    </row>
    <row r="4391" spans="1:4">
      <c r="A4391" t="str">
        <f>"39241-BM725"</f>
        <v>39241-BM725</v>
      </c>
      <c r="B4391" t="str">
        <f>"REPAIR KIT-DUST"</f>
        <v>REPAIR KIT-DUST</v>
      </c>
      <c r="C4391">
        <v>2</v>
      </c>
      <c r="D4391">
        <v>867.40800000000002</v>
      </c>
    </row>
    <row r="4392" spans="1:4">
      <c r="A4392" t="str">
        <f>"39241-BU127"</f>
        <v>39241-BU127</v>
      </c>
      <c r="B4392" t="str">
        <f>"Пыльник ШРУСа наружн"</f>
        <v>Пыльник ШРУСа наружн</v>
      </c>
      <c r="C4392">
        <v>3</v>
      </c>
      <c r="D4392">
        <v>1373.328</v>
      </c>
    </row>
    <row r="4393" spans="1:4">
      <c r="A4393" t="str">
        <f>"39241-CA025"</f>
        <v>39241-CA025</v>
      </c>
      <c r="B4393" t="str">
        <f>"COMBINATION KIT"</f>
        <v>COMBINATION KIT</v>
      </c>
      <c r="C4393">
        <v>11</v>
      </c>
      <c r="D4393">
        <v>1415.76</v>
      </c>
    </row>
    <row r="4394" spans="1:4">
      <c r="A4394" t="str">
        <f>"39241-CG027"</f>
        <v>39241-CG027</v>
      </c>
      <c r="B4394" t="str">
        <f>"Пыльник ШРУСа наружн"</f>
        <v>Пыльник ШРУСа наружн</v>
      </c>
      <c r="C4394">
        <v>12</v>
      </c>
      <c r="D4394">
        <v>1330.0800000000002</v>
      </c>
    </row>
    <row r="4395" spans="1:4">
      <c r="A4395" t="str">
        <f>"39252-35F6C"</f>
        <v>39252-35F6C</v>
      </c>
      <c r="B4395" t="str">
        <f>"Уплотнительное кольц"</f>
        <v>Уплотнительное кольц</v>
      </c>
      <c r="C4395">
        <v>19</v>
      </c>
      <c r="D4395">
        <v>361.08</v>
      </c>
    </row>
    <row r="4396" spans="1:4">
      <c r="A4396" t="str">
        <f>"39253-01J00"</f>
        <v>39253-01J00</v>
      </c>
      <c r="B4396" t="str">
        <f t="shared" ref="B4396:B4401" si="87">"RING-SNAP"</f>
        <v>RING-SNAP</v>
      </c>
      <c r="C4396">
        <v>8</v>
      </c>
      <c r="D4396">
        <v>90.576000000000008</v>
      </c>
    </row>
    <row r="4397" spans="1:4">
      <c r="A4397" t="str">
        <f>"39253-01J01"</f>
        <v>39253-01J01</v>
      </c>
      <c r="B4397" t="str">
        <f t="shared" si="87"/>
        <v>RING-SNAP</v>
      </c>
      <c r="C4397">
        <v>4</v>
      </c>
      <c r="D4397">
        <v>89.35199999999999</v>
      </c>
    </row>
    <row r="4398" spans="1:4">
      <c r="A4398" t="str">
        <f>"39253-01J02"</f>
        <v>39253-01J02</v>
      </c>
      <c r="B4398" t="str">
        <f t="shared" si="87"/>
        <v>RING-SNAP</v>
      </c>
      <c r="C4398">
        <v>5</v>
      </c>
      <c r="D4398">
        <v>88.128</v>
      </c>
    </row>
    <row r="4399" spans="1:4">
      <c r="A4399" t="str">
        <f>"39253-01J03"</f>
        <v>39253-01J03</v>
      </c>
      <c r="B4399" t="str">
        <f t="shared" si="87"/>
        <v>RING-SNAP</v>
      </c>
      <c r="C4399">
        <v>0</v>
      </c>
      <c r="D4399">
        <v>86.087999999999994</v>
      </c>
    </row>
    <row r="4400" spans="1:4">
      <c r="A4400" t="str">
        <f>"39253-01J04"</f>
        <v>39253-01J04</v>
      </c>
      <c r="B4400" t="str">
        <f t="shared" si="87"/>
        <v>RING-SNAP</v>
      </c>
      <c r="C4400">
        <v>0</v>
      </c>
      <c r="D4400">
        <v>89.35199999999999</v>
      </c>
    </row>
    <row r="4401" spans="1:4">
      <c r="A4401" t="str">
        <f>"39253-01J05"</f>
        <v>39253-01J05</v>
      </c>
      <c r="B4401" t="str">
        <f t="shared" si="87"/>
        <v>RING-SNAP</v>
      </c>
      <c r="C4401">
        <v>5</v>
      </c>
      <c r="D4401">
        <v>90.576000000000008</v>
      </c>
    </row>
    <row r="4402" spans="1:4">
      <c r="A4402" t="str">
        <f>"39600-EB30B"</f>
        <v>39600-EB30B</v>
      </c>
      <c r="B4402" t="str">
        <f>"Задний привод в сбор"</f>
        <v>Задний привод в сбор</v>
      </c>
      <c r="C4402">
        <v>2</v>
      </c>
      <c r="D4402">
        <v>14954.832</v>
      </c>
    </row>
    <row r="4403" spans="1:4">
      <c r="A4403" t="str">
        <f>"39600-EB32D"</f>
        <v>39600-EB32D</v>
      </c>
      <c r="B4403" t="str">
        <f>"Задний привод в сбор"</f>
        <v>Задний привод в сбор</v>
      </c>
      <c r="C4403">
        <v>0</v>
      </c>
      <c r="D4403">
        <v>23331.888000000003</v>
      </c>
    </row>
    <row r="4404" spans="1:4">
      <c r="A4404" t="str">
        <f>"39711-02A05"</f>
        <v>39711-02A05</v>
      </c>
      <c r="B4404" t="str">
        <f>"HOUSING WITH SH"</f>
        <v>HOUSING WITH SH</v>
      </c>
      <c r="C4404">
        <v>8</v>
      </c>
      <c r="D4404">
        <v>5685.8879999999999</v>
      </c>
    </row>
    <row r="4405" spans="1:4">
      <c r="A4405" t="str">
        <f>"39711-02E10"</f>
        <v>39711-02E10</v>
      </c>
      <c r="B4405" t="str">
        <f>"JOINT ASSY-INNE"</f>
        <v>JOINT ASSY-INNE</v>
      </c>
      <c r="C4405">
        <v>4</v>
      </c>
      <c r="D4405">
        <v>6330.5279999999993</v>
      </c>
    </row>
    <row r="4406" spans="1:4">
      <c r="A4406" t="str">
        <f>"39711-1AA0B"</f>
        <v>39711-1AA0B</v>
      </c>
      <c r="B4406" t="str">
        <f>"ШРУС внутренний"</f>
        <v>ШРУС внутренний</v>
      </c>
      <c r="C4406">
        <v>7</v>
      </c>
      <c r="D4406">
        <v>6749.9520000000002</v>
      </c>
    </row>
    <row r="4407" spans="1:4">
      <c r="A4407" t="str">
        <f>"39711-1AA0C"</f>
        <v>39711-1AA0C</v>
      </c>
      <c r="B4407" t="str">
        <f>"ШРУС внутренний"</f>
        <v>ШРУС внутренний</v>
      </c>
      <c r="C4407">
        <v>0</v>
      </c>
      <c r="D4407">
        <v>6991.079999999999</v>
      </c>
    </row>
    <row r="4408" spans="1:4">
      <c r="A4408" t="str">
        <f>"39711-35F10"</f>
        <v>39711-35F10</v>
      </c>
      <c r="B4408" t="str">
        <f>"HOUSING-SLIDE J"</f>
        <v>HOUSING-SLIDE J</v>
      </c>
      <c r="C4408">
        <v>4</v>
      </c>
      <c r="D4408">
        <v>5330.1120000000001</v>
      </c>
    </row>
    <row r="4409" spans="1:4">
      <c r="A4409" t="str">
        <f>"39711-64E00"</f>
        <v>39711-64E00</v>
      </c>
      <c r="B4409" t="str">
        <f>"ШРУС внутренний"</f>
        <v>ШРУС внутренний</v>
      </c>
      <c r="C4409">
        <v>2</v>
      </c>
      <c r="D4409">
        <v>4781.76</v>
      </c>
    </row>
    <row r="4410" spans="1:4">
      <c r="A4410" t="str">
        <f>"39711-64J03"</f>
        <v>39711-64J03</v>
      </c>
      <c r="B4410" t="str">
        <f>"JOINT ASSY-INNE"</f>
        <v>JOINT ASSY-INNE</v>
      </c>
      <c r="C4410">
        <v>0</v>
      </c>
      <c r="D4410">
        <v>4852.3440000000001</v>
      </c>
    </row>
    <row r="4411" spans="1:4">
      <c r="A4411" t="str">
        <f>"39711-70A10"</f>
        <v>39711-70A10</v>
      </c>
      <c r="B4411" t="str">
        <f>"JOINT ASSY-INNE"</f>
        <v>JOINT ASSY-INNE</v>
      </c>
      <c r="C4411">
        <v>0</v>
      </c>
      <c r="D4411">
        <v>4887.8399999999992</v>
      </c>
    </row>
    <row r="4412" spans="1:4">
      <c r="A4412" t="str">
        <f>"39711-86E05"</f>
        <v>39711-86E05</v>
      </c>
      <c r="B4412" t="str">
        <f>"JOINT ASSY"</f>
        <v>JOINT ASSY</v>
      </c>
      <c r="C4412">
        <v>1</v>
      </c>
      <c r="D4412">
        <v>6710.3759999999993</v>
      </c>
    </row>
    <row r="4413" spans="1:4">
      <c r="A4413" t="str">
        <f>"39711-CG000"</f>
        <v>39711-CG000</v>
      </c>
      <c r="B4413" t="str">
        <f>"ШРУС внутренний"</f>
        <v>ШРУС внутренний</v>
      </c>
      <c r="C4413">
        <v>9</v>
      </c>
      <c r="D4413">
        <v>6754.44</v>
      </c>
    </row>
    <row r="4414" spans="1:4">
      <c r="A4414" t="str">
        <f>"39720-ET028"</f>
        <v>39720-ET028</v>
      </c>
      <c r="B4414" t="str">
        <f>"Шрус внутренний в сб"</f>
        <v>Шрус внутренний в сб</v>
      </c>
      <c r="C4414">
        <v>2</v>
      </c>
      <c r="D4414">
        <v>3541.4399999999996</v>
      </c>
    </row>
    <row r="4415" spans="1:4">
      <c r="A4415" t="str">
        <f>"39741-05U87"</f>
        <v>39741-05U87</v>
      </c>
      <c r="B4415" t="str">
        <f>"REPAIR KIT-DUST"</f>
        <v>REPAIR KIT-DUST</v>
      </c>
      <c r="C4415">
        <v>23</v>
      </c>
      <c r="D4415">
        <v>1412.4959999999999</v>
      </c>
    </row>
    <row r="4416" spans="1:4">
      <c r="A4416" t="str">
        <f>"39741-0F00A"</f>
        <v>39741-0F00A</v>
      </c>
      <c r="B4416" t="str">
        <f>"Пыльник ШРУСа внутре"</f>
        <v>Пыльник ШРУСа внутре</v>
      </c>
      <c r="C4416">
        <v>7</v>
      </c>
      <c r="D4416">
        <v>1823.3520000000001</v>
      </c>
    </row>
    <row r="4417" spans="1:4">
      <c r="A4417" t="str">
        <f>"39741-17V28"</f>
        <v>39741-17V28</v>
      </c>
      <c r="B4417" t="str">
        <f>"REPAIR KIT-DUST"</f>
        <v>REPAIR KIT-DUST</v>
      </c>
      <c r="C4417">
        <v>39</v>
      </c>
      <c r="D4417">
        <v>1307.2319999999997</v>
      </c>
    </row>
    <row r="4418" spans="1:4">
      <c r="A4418" t="str">
        <f>"39741-2U626"</f>
        <v>39741-2U626</v>
      </c>
      <c r="B4418" t="str">
        <f>"REPAIR KIT-DUST"</f>
        <v>REPAIR KIT-DUST</v>
      </c>
      <c r="C4418">
        <v>1</v>
      </c>
      <c r="D4418">
        <v>1312.1279999999999</v>
      </c>
    </row>
    <row r="4419" spans="1:4">
      <c r="A4419" t="str">
        <f>"39741-55E87"</f>
        <v>39741-55E87</v>
      </c>
      <c r="B4419" t="str">
        <f>"REPAIR KIT-DUST"</f>
        <v>REPAIR KIT-DUST</v>
      </c>
      <c r="C4419">
        <v>9</v>
      </c>
      <c r="D4419">
        <v>1183.2</v>
      </c>
    </row>
    <row r="4420" spans="1:4">
      <c r="A4420" t="str">
        <f>"39741-6N225"</f>
        <v>39741-6N225</v>
      </c>
      <c r="B4420" t="str">
        <f>"REPAIR KIT-DUST"</f>
        <v>REPAIR KIT-DUST</v>
      </c>
      <c r="C4420">
        <v>6</v>
      </c>
      <c r="D4420">
        <v>1404.336</v>
      </c>
    </row>
    <row r="4421" spans="1:4">
      <c r="A4421" t="str">
        <f>"39741-7S028"</f>
        <v>39741-7S028</v>
      </c>
      <c r="B4421" t="str">
        <f>"Пыльник ШРУСа"</f>
        <v>Пыльник ШРУСа</v>
      </c>
      <c r="C4421">
        <v>0</v>
      </c>
      <c r="D4421">
        <v>1505.1119999999999</v>
      </c>
    </row>
    <row r="4422" spans="1:4">
      <c r="A4422" t="str">
        <f>"39741-7Y026"</f>
        <v>39741-7Y026</v>
      </c>
      <c r="B4422" t="str">
        <f>"Пыльник ШРУСа внутре"</f>
        <v>Пыльник ШРУСа внутре</v>
      </c>
      <c r="C4422">
        <v>0</v>
      </c>
      <c r="D4422">
        <v>1549.992</v>
      </c>
    </row>
    <row r="4423" spans="1:4">
      <c r="A4423" t="str">
        <f>"39741-7Y027"</f>
        <v>39741-7Y027</v>
      </c>
      <c r="B4423" t="str">
        <f>"Пыльник ШРУСа внутре"</f>
        <v>Пыльник ШРУСа внутре</v>
      </c>
      <c r="C4423">
        <v>6</v>
      </c>
      <c r="D4423">
        <v>1092.2159999999999</v>
      </c>
    </row>
    <row r="4424" spans="1:4">
      <c r="A4424" t="str">
        <f>"39741-7Y028"</f>
        <v>39741-7Y028</v>
      </c>
      <c r="B4424" t="str">
        <f>"Привод в сборе"</f>
        <v>Привод в сборе</v>
      </c>
      <c r="C4424">
        <v>10</v>
      </c>
      <c r="D4424">
        <v>5209.7519999999995</v>
      </c>
    </row>
    <row r="4425" spans="1:4">
      <c r="A4425" t="str">
        <f>"39741-7Y029"</f>
        <v>39741-7Y029</v>
      </c>
      <c r="B4425" t="str">
        <f>"ШРУС внутренний с ва"</f>
        <v>ШРУС внутренний с ва</v>
      </c>
      <c r="C4425">
        <v>0</v>
      </c>
      <c r="D4425">
        <v>4110.192</v>
      </c>
    </row>
    <row r="4426" spans="1:4">
      <c r="A4426" t="str">
        <f>"39741-8H525"</f>
        <v>39741-8H525</v>
      </c>
      <c r="B4426" t="str">
        <f>"REPAIR KIT-DUST"</f>
        <v>REPAIR KIT-DUST</v>
      </c>
      <c r="C4426">
        <v>4</v>
      </c>
      <c r="D4426">
        <v>1270.5119999999999</v>
      </c>
    </row>
    <row r="4427" spans="1:4">
      <c r="A4427" t="str">
        <f>"39741-9Y125"</f>
        <v>39741-9Y125</v>
      </c>
      <c r="B4427" t="str">
        <f>"Пыльник ШРУСа внутре"</f>
        <v>Пыльник ШРУСа внутре</v>
      </c>
      <c r="C4427">
        <v>26</v>
      </c>
      <c r="D4427">
        <v>1579.7760000000001</v>
      </c>
    </row>
    <row r="4428" spans="1:4">
      <c r="A4428" t="str">
        <f>"39741-AY125"</f>
        <v>39741-AY125</v>
      </c>
      <c r="B4428" t="str">
        <f>"REPAIR KIT-DUST"</f>
        <v>REPAIR KIT-DUST</v>
      </c>
      <c r="C4428">
        <v>2</v>
      </c>
      <c r="D4428">
        <v>1003.68</v>
      </c>
    </row>
    <row r="4429" spans="1:4">
      <c r="A4429" t="str">
        <f>"39741-AY126"</f>
        <v>39741-AY126</v>
      </c>
      <c r="B4429" t="str">
        <f>"Пыльник ШРУСа внутре"</f>
        <v>Пыльник ШРУСа внутре</v>
      </c>
      <c r="C4429">
        <v>16</v>
      </c>
      <c r="D4429">
        <v>1266.0239999999999</v>
      </c>
    </row>
    <row r="4430" spans="1:4">
      <c r="A4430" t="str">
        <f>"39741-AY128"</f>
        <v>39741-AY128</v>
      </c>
      <c r="B4430" t="str">
        <f>"Пыльник ШРУСа внутре"</f>
        <v>Пыльник ШРУСа внутре</v>
      </c>
      <c r="C4430">
        <v>0</v>
      </c>
      <c r="D4430">
        <v>913.51199999999994</v>
      </c>
    </row>
    <row r="4431" spans="1:4">
      <c r="A4431" t="str">
        <f>"39741-BM525"</f>
        <v>39741-BM525</v>
      </c>
      <c r="B4431" t="str">
        <f>"REPAIR KIT-DUST"</f>
        <v>REPAIR KIT-DUST</v>
      </c>
      <c r="C4431">
        <v>1</v>
      </c>
      <c r="D4431">
        <v>1146.0719999999999</v>
      </c>
    </row>
    <row r="4432" spans="1:4">
      <c r="A4432" t="str">
        <f>"39741-BM725"</f>
        <v>39741-BM725</v>
      </c>
      <c r="B4432" t="str">
        <f>"REPAIR KIT-DUST"</f>
        <v>REPAIR KIT-DUST</v>
      </c>
      <c r="C4432">
        <v>0</v>
      </c>
      <c r="D4432">
        <v>999.19199999999989</v>
      </c>
    </row>
    <row r="4433" spans="1:4">
      <c r="A4433" t="str">
        <f>"39741-BM726"</f>
        <v>39741-BM726</v>
      </c>
      <c r="B4433" t="str">
        <f>"REPAIR KIT-DUST"</f>
        <v>REPAIR KIT-DUST</v>
      </c>
      <c r="C4433">
        <v>12</v>
      </c>
      <c r="D4433">
        <v>871.89600000000007</v>
      </c>
    </row>
    <row r="4434" spans="1:4">
      <c r="A4434" t="str">
        <f>"39741-CG028"</f>
        <v>39741-CG028</v>
      </c>
      <c r="B4434" t="str">
        <f>"Пыльник ШРУСа внутре"</f>
        <v>Пыльник ШРУСа внутре</v>
      </c>
      <c r="C4434">
        <v>0</v>
      </c>
      <c r="D4434">
        <v>1530.4079999999999</v>
      </c>
    </row>
    <row r="4435" spans="1:4">
      <c r="A4435" t="str">
        <f>"39741-EN025"</f>
        <v>39741-EN025</v>
      </c>
      <c r="B4435" t="str">
        <f>"Пыльник ШРУСа внутре"</f>
        <v>Пыльник ШРУСа внутре</v>
      </c>
      <c r="C4435">
        <v>2</v>
      </c>
      <c r="D4435">
        <v>1641.3839999999998</v>
      </c>
    </row>
    <row r="4436" spans="1:4">
      <c r="A4436" t="str">
        <f>"39752-02A0B"</f>
        <v>39752-02A0B</v>
      </c>
      <c r="B4436" t="str">
        <f>"Шайба привода"</f>
        <v>Шайба привода</v>
      </c>
      <c r="C4436">
        <v>8</v>
      </c>
      <c r="D4436">
        <v>157.08000000000001</v>
      </c>
    </row>
    <row r="4437" spans="1:4">
      <c r="A4437" t="str">
        <f>"39752-10E0A"</f>
        <v>39752-10E0A</v>
      </c>
      <c r="B4437" t="str">
        <f>"Шайба привода"</f>
        <v>Шайба привода</v>
      </c>
      <c r="C4437">
        <v>11</v>
      </c>
      <c r="D4437">
        <v>125.66399999999999</v>
      </c>
    </row>
    <row r="4438" spans="1:4">
      <c r="A4438" t="str">
        <f>"39752-10E1A"</f>
        <v>39752-10E1A</v>
      </c>
      <c r="B4438" t="str">
        <f>"Шайба привода"</f>
        <v>Шайба привода</v>
      </c>
      <c r="C4438">
        <v>0</v>
      </c>
      <c r="D4438">
        <v>114.24</v>
      </c>
    </row>
    <row r="4439" spans="1:4">
      <c r="A4439" t="str">
        <f>"39752-JD21B"</f>
        <v>39752-JD21B</v>
      </c>
      <c r="B4439" t="str">
        <f>"Сальник привода"</f>
        <v>Сальник привода</v>
      </c>
      <c r="C4439">
        <v>3</v>
      </c>
      <c r="D4439">
        <v>126.072</v>
      </c>
    </row>
    <row r="4440" spans="1:4">
      <c r="A4440" t="str">
        <f>"39771-2Y007"</f>
        <v>39771-2Y007</v>
      </c>
      <c r="B4440" t="str">
        <f>"JOINT ASSY-INNE"</f>
        <v>JOINT ASSY-INNE</v>
      </c>
      <c r="C4440">
        <v>1</v>
      </c>
      <c r="D4440">
        <v>7841.3519999999999</v>
      </c>
    </row>
    <row r="4441" spans="1:4">
      <c r="A4441" t="str">
        <f>"39771-CC40A"</f>
        <v>39771-CC40A</v>
      </c>
      <c r="B4441" t="str">
        <f>"ШРУС внутренний"</f>
        <v>ШРУС внутренний</v>
      </c>
      <c r="C4441">
        <v>6</v>
      </c>
      <c r="D4441">
        <v>6759.7439999999997</v>
      </c>
    </row>
    <row r="4442" spans="1:4">
      <c r="A4442" t="str">
        <f>"39771-JG04C"</f>
        <v>39771-JG04C</v>
      </c>
      <c r="B4442" t="str">
        <f>"Шрус внутренний"</f>
        <v>Шрус внутренний</v>
      </c>
      <c r="C4442">
        <v>0</v>
      </c>
      <c r="D4442">
        <v>7054.7279999999992</v>
      </c>
    </row>
    <row r="4443" spans="1:4">
      <c r="A4443" t="str">
        <f>"39774-5Y70E"</f>
        <v>39774-5Y70E</v>
      </c>
      <c r="B4443" t="str">
        <f>"Подшипник поворотног"</f>
        <v>Подшипник поворотног</v>
      </c>
      <c r="C4443">
        <v>13</v>
      </c>
      <c r="D4443">
        <v>1602.624</v>
      </c>
    </row>
    <row r="4444" spans="1:4">
      <c r="A4444" t="str">
        <f>"39774-EN00E"</f>
        <v>39774-EN00E</v>
      </c>
      <c r="B4444" t="str">
        <f>"BEARING-SUPPORT"</f>
        <v>BEARING-SUPPORT</v>
      </c>
      <c r="C4444">
        <v>0</v>
      </c>
      <c r="D4444">
        <v>1665.4560000000001</v>
      </c>
    </row>
    <row r="4445" spans="1:4">
      <c r="A4445" t="str">
        <f>"39774-JA01A"</f>
        <v>39774-JA01A</v>
      </c>
      <c r="B4445" t="str">
        <f>"Подшипник поворотног"</f>
        <v>Подшипник поворотног</v>
      </c>
      <c r="C4445">
        <v>89</v>
      </c>
      <c r="D4445">
        <v>1352.1119999999999</v>
      </c>
    </row>
    <row r="4446" spans="1:4">
      <c r="A4446" t="str">
        <f>"39775-10E0B"</f>
        <v>39775-10E0B</v>
      </c>
      <c r="B4446" t="str">
        <f>"Шайба привода"</f>
        <v>Шайба привода</v>
      </c>
      <c r="C4446">
        <v>9</v>
      </c>
      <c r="D4446">
        <v>131.376</v>
      </c>
    </row>
    <row r="4447" spans="1:4">
      <c r="A4447" t="str">
        <f>"39776-10E03"</f>
        <v>39776-10E03</v>
      </c>
      <c r="B4447" t="str">
        <f>"RETAINER-BEARIN"</f>
        <v>RETAINER-BEARIN</v>
      </c>
      <c r="C4447">
        <v>7</v>
      </c>
      <c r="D4447">
        <v>1577.328</v>
      </c>
    </row>
    <row r="4448" spans="1:4">
      <c r="A4448" t="str">
        <f>"39778-10E0B"</f>
        <v>39778-10E0B</v>
      </c>
      <c r="B4448" t="str">
        <f>"Заглушка привода"</f>
        <v>Заглушка привода</v>
      </c>
      <c r="C4448">
        <v>13</v>
      </c>
      <c r="D4448">
        <v>121.58399999999999</v>
      </c>
    </row>
    <row r="4449" spans="1:4">
      <c r="A4449" t="str">
        <f>"40010-AU000"</f>
        <v>40010-AU000</v>
      </c>
      <c r="B4449" t="str">
        <f>"NUCKLE ASSY,RH"</f>
        <v>NUCKLE ASSY,RH</v>
      </c>
      <c r="C4449">
        <v>0</v>
      </c>
      <c r="D4449">
        <v>13616.183999999999</v>
      </c>
    </row>
    <row r="4450" spans="1:4">
      <c r="A4450" t="str">
        <f>"40010-VB200"</f>
        <v>40010-VB200</v>
      </c>
      <c r="B4450" t="str">
        <f>"NUCKLE ASSY,RH"</f>
        <v>NUCKLE ASSY,RH</v>
      </c>
      <c r="C4450">
        <v>8</v>
      </c>
      <c r="D4450">
        <v>8174.2799999999988</v>
      </c>
    </row>
    <row r="4451" spans="1:4">
      <c r="A4451" t="str">
        <f>"40011-AU000"</f>
        <v>40011-AU000</v>
      </c>
      <c r="B4451" t="str">
        <f>"KNUCKLE ASSY,LH"</f>
        <v>KNUCKLE ASSY,LH</v>
      </c>
      <c r="C4451">
        <v>6</v>
      </c>
      <c r="D4451">
        <v>13665.551999999998</v>
      </c>
    </row>
    <row r="4452" spans="1:4">
      <c r="A4452" t="str">
        <f>"40011-VB200"</f>
        <v>40011-VB200</v>
      </c>
      <c r="B4452" t="str">
        <f>"KNUCKLE ASSY,LH"</f>
        <v>KNUCKLE ASSY,LH</v>
      </c>
      <c r="C4452">
        <v>5</v>
      </c>
      <c r="D4452">
        <v>8255.0640000000003</v>
      </c>
    </row>
    <row r="4453" spans="1:4">
      <c r="A4453" t="str">
        <f>"40014-1LA0A"</f>
        <v>40014-1LA0A</v>
      </c>
      <c r="B4453" t="str">
        <f>"Кулак поворотный (ца"</f>
        <v>Кулак поворотный (ца</v>
      </c>
      <c r="C4453">
        <v>2</v>
      </c>
      <c r="D4453">
        <v>18977.712</v>
      </c>
    </row>
    <row r="4454" spans="1:4">
      <c r="A4454" t="str">
        <f>"40014-4M400"</f>
        <v>40014-4M400</v>
      </c>
      <c r="B4454" t="str">
        <f>"SPDL-KNUCKLE,RH"</f>
        <v>SPDL-KNUCKLE,RH</v>
      </c>
      <c r="C4454">
        <v>2</v>
      </c>
      <c r="D4454">
        <v>10042.512000000001</v>
      </c>
    </row>
    <row r="4455" spans="1:4">
      <c r="A4455" t="str">
        <f>"40014-5X00C"</f>
        <v>40014-5X00C</v>
      </c>
      <c r="B4455" t="str">
        <f>"Кулак поворотный (ца"</f>
        <v>Кулак поворотный (ца</v>
      </c>
      <c r="C4455">
        <v>2</v>
      </c>
      <c r="D4455">
        <v>16774.103999999999</v>
      </c>
    </row>
    <row r="4456" spans="1:4">
      <c r="A4456" t="str">
        <f>"40014-5Y700"</f>
        <v>40014-5Y700</v>
      </c>
      <c r="B4456" t="str">
        <f>"SPDL-KNUCKLE,RH"</f>
        <v>SPDL-KNUCKLE,RH</v>
      </c>
      <c r="C4456">
        <v>2</v>
      </c>
      <c r="D4456">
        <v>11353.415999999999</v>
      </c>
    </row>
    <row r="4457" spans="1:4">
      <c r="A4457" t="str">
        <f>"40014-8H300"</f>
        <v>40014-8H300</v>
      </c>
      <c r="B4457" t="str">
        <f>"SPDL-KNUCKLE,RH"</f>
        <v>SPDL-KNUCKLE,RH</v>
      </c>
      <c r="C4457">
        <v>5</v>
      </c>
      <c r="D4457">
        <v>12647.183999999999</v>
      </c>
    </row>
    <row r="4458" spans="1:4">
      <c r="A4458" t="str">
        <f>"40014-95F0B"</f>
        <v>40014-95F0B</v>
      </c>
      <c r="B4458" t="str">
        <f>"Кулак поворотный (ца"</f>
        <v>Кулак поворотный (ца</v>
      </c>
      <c r="C4458">
        <v>5</v>
      </c>
      <c r="D4458">
        <v>11832</v>
      </c>
    </row>
    <row r="4459" spans="1:4">
      <c r="A4459" t="str">
        <f>"40014-AX600"</f>
        <v>40014-AX600</v>
      </c>
      <c r="B4459" t="str">
        <f>"SPINDLE-KNUCKLE"</f>
        <v>SPINDLE-KNUCKLE</v>
      </c>
      <c r="C4459">
        <v>9</v>
      </c>
      <c r="D4459">
        <v>9874.8240000000005</v>
      </c>
    </row>
    <row r="4460" spans="1:4">
      <c r="A4460" t="str">
        <f>"40014-CG000"</f>
        <v>40014-CG000</v>
      </c>
      <c r="B4460" t="str">
        <f>"SPINDLE-KN.RH"</f>
        <v>SPINDLE-KN.RH</v>
      </c>
      <c r="C4460">
        <v>2</v>
      </c>
      <c r="D4460">
        <v>15537.048000000001</v>
      </c>
    </row>
    <row r="4461" spans="1:4">
      <c r="A4461" t="str">
        <f>"40014-CN000"</f>
        <v>40014-CN000</v>
      </c>
      <c r="B4461" t="str">
        <f>"SPDL-KNUCKLE,RH"</f>
        <v>SPDL-KNUCKLE,RH</v>
      </c>
      <c r="C4461">
        <v>3</v>
      </c>
      <c r="D4461">
        <v>14772.863999999998</v>
      </c>
    </row>
    <row r="4462" spans="1:4">
      <c r="A4462" t="str">
        <f>"40014-ED000"</f>
        <v>40014-ED000</v>
      </c>
      <c r="B4462" t="str">
        <f t="shared" ref="B4462:B4468" si="88">"Кулак поворотный (ца"</f>
        <v>Кулак поворотный (ца</v>
      </c>
      <c r="C4462">
        <v>7</v>
      </c>
      <c r="D4462">
        <v>8588.4</v>
      </c>
    </row>
    <row r="4463" spans="1:4">
      <c r="A4463" t="str">
        <f>"40014-EG000"</f>
        <v>40014-EG000</v>
      </c>
      <c r="B4463" t="str">
        <f t="shared" si="88"/>
        <v>Кулак поворотный (ца</v>
      </c>
      <c r="C4463">
        <v>1</v>
      </c>
      <c r="D4463">
        <v>14894.855999999998</v>
      </c>
    </row>
    <row r="4464" spans="1:4">
      <c r="A4464" t="str">
        <f>"40014-JA00A"</f>
        <v>40014-JA00A</v>
      </c>
      <c r="B4464" t="str">
        <f t="shared" si="88"/>
        <v>Кулак поворотный (ца</v>
      </c>
      <c r="C4464">
        <v>2</v>
      </c>
      <c r="D4464">
        <v>9246.9120000000003</v>
      </c>
    </row>
    <row r="4465" spans="1:4">
      <c r="A4465" t="str">
        <f>"40014-JD000"</f>
        <v>40014-JD000</v>
      </c>
      <c r="B4465" t="str">
        <f t="shared" si="88"/>
        <v>Кулак поворотный (ца</v>
      </c>
      <c r="C4465">
        <v>13</v>
      </c>
      <c r="D4465">
        <v>11121.671999999999</v>
      </c>
    </row>
    <row r="4466" spans="1:4">
      <c r="A4466" t="str">
        <f>"40014-JG000"</f>
        <v>40014-JG000</v>
      </c>
      <c r="B4466" t="str">
        <f t="shared" si="88"/>
        <v>Кулак поворотный (ца</v>
      </c>
      <c r="C4466">
        <v>1</v>
      </c>
      <c r="D4466">
        <v>11122.895999999999</v>
      </c>
    </row>
    <row r="4467" spans="1:4">
      <c r="A4467" t="str">
        <f>"40014-JP00A"</f>
        <v>40014-JP00A</v>
      </c>
      <c r="B4467" t="str">
        <f t="shared" si="88"/>
        <v>Кулак поворотный (ца</v>
      </c>
      <c r="C4467">
        <v>3</v>
      </c>
      <c r="D4467">
        <v>13968.696</v>
      </c>
    </row>
    <row r="4468" spans="1:4">
      <c r="A4468" t="str">
        <f>"40015-1LA0A"</f>
        <v>40015-1LA0A</v>
      </c>
      <c r="B4468" t="str">
        <f t="shared" si="88"/>
        <v>Кулак поворотный (ца</v>
      </c>
      <c r="C4468">
        <v>3</v>
      </c>
      <c r="D4468">
        <v>23094.024000000001</v>
      </c>
    </row>
    <row r="4469" spans="1:4">
      <c r="A4469" t="str">
        <f>"40015-4M400"</f>
        <v>40015-4M400</v>
      </c>
      <c r="B4469" t="str">
        <f>"SPDL-KNU LH  99"</f>
        <v>SPDL-KNU LH  99</v>
      </c>
      <c r="C4469">
        <v>4</v>
      </c>
      <c r="D4469">
        <v>8568</v>
      </c>
    </row>
    <row r="4470" spans="1:4">
      <c r="A4470" t="str">
        <f>"40015-5M000"</f>
        <v>40015-5M000</v>
      </c>
      <c r="B4470" t="str">
        <f>"SPDL-KNU LH  99"</f>
        <v>SPDL-KNU LH  99</v>
      </c>
      <c r="C4470">
        <v>3</v>
      </c>
      <c r="D4470">
        <v>12204.096</v>
      </c>
    </row>
    <row r="4471" spans="1:4">
      <c r="A4471" t="str">
        <f>"40015-5X00C"</f>
        <v>40015-5X00C</v>
      </c>
      <c r="B4471" t="str">
        <f>"Кулак поворотный (ца"</f>
        <v>Кулак поворотный (ца</v>
      </c>
      <c r="C4471">
        <v>8</v>
      </c>
      <c r="D4471">
        <v>18692.928</v>
      </c>
    </row>
    <row r="4472" spans="1:4">
      <c r="A4472" t="str">
        <f>"40015-8H300"</f>
        <v>40015-8H300</v>
      </c>
      <c r="B4472" t="str">
        <f>"SPDL-KNU LH"</f>
        <v>SPDL-KNU LH</v>
      </c>
      <c r="C4472">
        <v>1</v>
      </c>
      <c r="D4472">
        <v>11444.807999999999</v>
      </c>
    </row>
    <row r="4473" spans="1:4">
      <c r="A4473" t="str">
        <f>"40015-95F0B"</f>
        <v>40015-95F0B</v>
      </c>
      <c r="B4473" t="str">
        <f>"Кулак поворотный (ца"</f>
        <v>Кулак поворотный (ца</v>
      </c>
      <c r="C4473">
        <v>0</v>
      </c>
      <c r="D4473">
        <v>14013.168</v>
      </c>
    </row>
    <row r="4474" spans="1:4">
      <c r="A4474" t="str">
        <f>"40015-AX600"</f>
        <v>40015-AX600</v>
      </c>
      <c r="B4474" t="str">
        <f>"SPINDLE-KNUCKLE"</f>
        <v>SPINDLE-KNUCKLE</v>
      </c>
      <c r="C4474">
        <v>14</v>
      </c>
      <c r="D4474">
        <v>9031.4879999999994</v>
      </c>
    </row>
    <row r="4475" spans="1:4">
      <c r="A4475" t="str">
        <f>"40015-CG000"</f>
        <v>40015-CG000</v>
      </c>
      <c r="B4475" t="str">
        <f>"SPINDL-KNUCKLE"</f>
        <v>SPINDL-KNUCKLE</v>
      </c>
      <c r="C4475">
        <v>4</v>
      </c>
      <c r="D4475">
        <v>15568.871999999999</v>
      </c>
    </row>
    <row r="4476" spans="1:4">
      <c r="A4476" t="str">
        <f>"40015-CN000"</f>
        <v>40015-CN000</v>
      </c>
      <c r="B4476" t="str">
        <f t="shared" ref="B4476:B4482" si="89">"Кулак поворотный (ца"</f>
        <v>Кулак поворотный (ца</v>
      </c>
      <c r="C4476">
        <v>5</v>
      </c>
      <c r="D4476">
        <v>15306.528</v>
      </c>
    </row>
    <row r="4477" spans="1:4">
      <c r="A4477" t="str">
        <f>"40015-ED000"</f>
        <v>40015-ED000</v>
      </c>
      <c r="B4477" t="str">
        <f t="shared" si="89"/>
        <v>Кулак поворотный (ца</v>
      </c>
      <c r="C4477">
        <v>3</v>
      </c>
      <c r="D4477">
        <v>9303.6239999999998</v>
      </c>
    </row>
    <row r="4478" spans="1:4">
      <c r="A4478" t="str">
        <f>"40015-EG000"</f>
        <v>40015-EG000</v>
      </c>
      <c r="B4478" t="str">
        <f t="shared" si="89"/>
        <v>Кулак поворотный (ца</v>
      </c>
      <c r="C4478">
        <v>3</v>
      </c>
      <c r="D4478">
        <v>14146.175999999999</v>
      </c>
    </row>
    <row r="4479" spans="1:4">
      <c r="A4479" t="str">
        <f>"40015-JA00A"</f>
        <v>40015-JA00A</v>
      </c>
      <c r="B4479" t="str">
        <f t="shared" si="89"/>
        <v>Кулак поворотный (ца</v>
      </c>
      <c r="C4479">
        <v>6</v>
      </c>
      <c r="D4479">
        <v>9240.7919999999995</v>
      </c>
    </row>
    <row r="4480" spans="1:4">
      <c r="A4480" t="str">
        <f>"40015-JD000"</f>
        <v>40015-JD000</v>
      </c>
      <c r="B4480" t="str">
        <f t="shared" si="89"/>
        <v>Кулак поворотный (ца</v>
      </c>
      <c r="C4480">
        <v>14</v>
      </c>
      <c r="D4480">
        <v>10176.336000000001</v>
      </c>
    </row>
    <row r="4481" spans="1:4">
      <c r="A4481" t="str">
        <f>"40015-JG000"</f>
        <v>40015-JG000</v>
      </c>
      <c r="B4481" t="str">
        <f t="shared" si="89"/>
        <v>Кулак поворотный (ца</v>
      </c>
      <c r="C4481">
        <v>7</v>
      </c>
      <c r="D4481">
        <v>12676.151999999998</v>
      </c>
    </row>
    <row r="4482" spans="1:4">
      <c r="A4482" t="str">
        <f>"40015-JP00A"</f>
        <v>40015-JP00A</v>
      </c>
      <c r="B4482" t="str">
        <f t="shared" si="89"/>
        <v>Кулак поворотный (ца</v>
      </c>
      <c r="C4482">
        <v>1</v>
      </c>
      <c r="D4482">
        <v>14377.512000000001</v>
      </c>
    </row>
    <row r="4483" spans="1:4">
      <c r="A4483" t="str">
        <f>"40022-01J00"</f>
        <v>40022-01J00</v>
      </c>
      <c r="B4483" t="str">
        <f>"CAP KNUCKLE  99"</f>
        <v>CAP KNUCKLE  99</v>
      </c>
      <c r="C4483">
        <v>57</v>
      </c>
      <c r="D4483">
        <v>1371.288</v>
      </c>
    </row>
    <row r="4484" spans="1:4">
      <c r="A4484" t="str">
        <f>"40030-2F000"</f>
        <v>40030-2F000</v>
      </c>
      <c r="B4484" t="str">
        <f>"BEARING ASSY-KI"</f>
        <v>BEARING ASSY-KI</v>
      </c>
      <c r="C4484">
        <v>4</v>
      </c>
      <c r="D4484">
        <v>1077.1199999999999</v>
      </c>
    </row>
    <row r="4485" spans="1:4">
      <c r="A4485" t="str">
        <f>"40030-AU000"</f>
        <v>40030-AU000</v>
      </c>
      <c r="B4485" t="str">
        <f>"BRG A-KINGPIN"</f>
        <v>BRG A-KINGPIN</v>
      </c>
      <c r="C4485">
        <v>50</v>
      </c>
      <c r="D4485">
        <v>996.3359999999999</v>
      </c>
    </row>
    <row r="4486" spans="1:4">
      <c r="A4486" t="str">
        <f>"40030-VB000"</f>
        <v>40030-VB000</v>
      </c>
      <c r="B4486" t="str">
        <f>"BEARING ASSY"</f>
        <v>BEARING ASSY</v>
      </c>
      <c r="C4486">
        <v>44</v>
      </c>
      <c r="D4486">
        <v>951.86400000000003</v>
      </c>
    </row>
    <row r="4487" spans="1:4">
      <c r="A4487" t="str">
        <f>"40039-2S610"</f>
        <v>40039-2S610</v>
      </c>
      <c r="B4487" t="str">
        <f>"CAP-BOLT"</f>
        <v>CAP-BOLT</v>
      </c>
      <c r="C4487">
        <v>0</v>
      </c>
      <c r="D4487">
        <v>85.272000000000006</v>
      </c>
    </row>
    <row r="4488" spans="1:4">
      <c r="A4488" t="str">
        <f>"40039-D0100"</f>
        <v>40039-D0100</v>
      </c>
      <c r="B4488" t="str">
        <f>"CAP BOLT STRG"</f>
        <v>CAP BOLT STRG</v>
      </c>
      <c r="C4488">
        <v>42</v>
      </c>
      <c r="D4488">
        <v>33.455999999999996</v>
      </c>
    </row>
    <row r="4489" spans="1:4">
      <c r="A4489" t="str">
        <f>"40039-JG00A"</f>
        <v>40039-JG00A</v>
      </c>
      <c r="B4489" t="str">
        <f>"Колпачек ограничител"</f>
        <v>Колпачек ограничител</v>
      </c>
      <c r="C4489">
        <v>10</v>
      </c>
      <c r="D4489">
        <v>65.688000000000002</v>
      </c>
    </row>
    <row r="4490" spans="1:4">
      <c r="A4490" t="str">
        <f>"40040-01J00"</f>
        <v>40040-01J00</v>
      </c>
      <c r="B4490" t="str">
        <f>"PLATE SPIDLE"</f>
        <v>PLATE SPIDLE</v>
      </c>
      <c r="C4490">
        <v>122</v>
      </c>
      <c r="D4490">
        <v>367.60799999999995</v>
      </c>
    </row>
    <row r="4491" spans="1:4">
      <c r="A4491" t="str">
        <f>"40041-2F000"</f>
        <v>40041-2F000</v>
      </c>
      <c r="B4491" t="str">
        <f>"CAP-KINGPIN"</f>
        <v>CAP-KINGPIN</v>
      </c>
      <c r="C4491">
        <v>0</v>
      </c>
      <c r="D4491">
        <v>180.33599999999998</v>
      </c>
    </row>
    <row r="4492" spans="1:4">
      <c r="A4492" t="str">
        <f>"40056-8H51A"</f>
        <v>40056-8H51A</v>
      </c>
      <c r="B4492" t="str">
        <f>"BOLT"</f>
        <v>BOLT</v>
      </c>
      <c r="C4492">
        <v>0</v>
      </c>
      <c r="D4492">
        <v>153.40799999999999</v>
      </c>
    </row>
    <row r="4493" spans="1:4">
      <c r="A4493" t="str">
        <f>"40073-0L700"</f>
        <v>40073-0L700</v>
      </c>
      <c r="B4493" t="str">
        <f>"PIN-COTTER"</f>
        <v>PIN-COTTER</v>
      </c>
      <c r="C4493">
        <v>0</v>
      </c>
      <c r="D4493">
        <v>19.584</v>
      </c>
    </row>
    <row r="4494" spans="1:4">
      <c r="A4494" t="str">
        <f>"40088-95F0A"</f>
        <v>40088-95F0A</v>
      </c>
      <c r="B4494" t="str">
        <f>"Пыльник ШРУСа наружн"</f>
        <v>Пыльник ШРУСа наружн</v>
      </c>
      <c r="C4494">
        <v>18</v>
      </c>
      <c r="D4494">
        <v>1301.1119999999999</v>
      </c>
    </row>
    <row r="4495" spans="1:4">
      <c r="A4495" t="str">
        <f>"40089-95F0A"</f>
        <v>40089-95F0A</v>
      </c>
      <c r="B4495" t="str">
        <f>"Пыльник ШРУСа наружн"</f>
        <v>Пыльник ШРУСа наружн</v>
      </c>
      <c r="C4495">
        <v>25</v>
      </c>
      <c r="D4495">
        <v>1385.9759999999999</v>
      </c>
    </row>
    <row r="4496" spans="1:4">
      <c r="A4496" t="str">
        <f>"40110-01G27"</f>
        <v>40110-01G27</v>
      </c>
      <c r="B4496" t="str">
        <f>"Шаровая опора"</f>
        <v>Шаровая опора</v>
      </c>
      <c r="C4496">
        <v>4</v>
      </c>
      <c r="D4496">
        <v>2105.6880000000001</v>
      </c>
    </row>
    <row r="4497" spans="1:4">
      <c r="A4497" t="str">
        <f>"40110-9X50B"</f>
        <v>40110-9X50B</v>
      </c>
      <c r="B4497" t="str">
        <f>"Шаровая опора"</f>
        <v>Шаровая опора</v>
      </c>
      <c r="C4497">
        <v>0</v>
      </c>
      <c r="D4497">
        <v>2918.8319999999999</v>
      </c>
    </row>
    <row r="4498" spans="1:4">
      <c r="A4498" t="str">
        <f>"40135-7S025"</f>
        <v>40135-7S025</v>
      </c>
      <c r="B4498" t="str">
        <f>"Ремкомплект торм. су"</f>
        <v>Ремкомплект торм. су</v>
      </c>
      <c r="C4498">
        <v>10</v>
      </c>
      <c r="D4498">
        <v>1110.9839999999999</v>
      </c>
    </row>
    <row r="4499" spans="1:4">
      <c r="A4499" t="str">
        <f>"40142-01G00"</f>
        <v>40142-01G00</v>
      </c>
      <c r="B4499" t="str">
        <f>"COVER DUST"</f>
        <v>COVER DUST</v>
      </c>
      <c r="C4499">
        <v>4</v>
      </c>
      <c r="D4499">
        <v>219.50399999999999</v>
      </c>
    </row>
    <row r="4500" spans="1:4">
      <c r="A4500" t="str">
        <f>"40160-05U00"</f>
        <v>40160-05U00</v>
      </c>
      <c r="B4500" t="str">
        <f>"JOINT ASSY-BALL"</f>
        <v>JOINT ASSY-BALL</v>
      </c>
      <c r="C4500">
        <v>4</v>
      </c>
      <c r="D4500">
        <v>2189.7359999999999</v>
      </c>
    </row>
    <row r="4501" spans="1:4">
      <c r="A4501" t="str">
        <f>"40160-2Y000"</f>
        <v>40160-2Y000</v>
      </c>
      <c r="B4501" t="str">
        <f>"JOINT ASSY"</f>
        <v>JOINT ASSY</v>
      </c>
      <c r="C4501">
        <v>4</v>
      </c>
      <c r="D4501">
        <v>1836.816</v>
      </c>
    </row>
    <row r="4502" spans="1:4">
      <c r="A4502" t="str">
        <f>"40160-7F000"</f>
        <v>40160-7F000</v>
      </c>
      <c r="B4502" t="str">
        <f>"JOINT ASSY-BALL"</f>
        <v>JOINT ASSY-BALL</v>
      </c>
      <c r="C4502">
        <v>7</v>
      </c>
      <c r="D4502">
        <v>4015.1279999999997</v>
      </c>
    </row>
    <row r="4503" spans="1:4">
      <c r="A4503" t="str">
        <f>"40160-93G25"</f>
        <v>40160-93G25</v>
      </c>
      <c r="B4503" t="str">
        <f>"JOINT ASSY"</f>
        <v>JOINT ASSY</v>
      </c>
      <c r="C4503">
        <v>5</v>
      </c>
      <c r="D4503">
        <v>2195.04</v>
      </c>
    </row>
    <row r="4504" spans="1:4">
      <c r="A4504" t="str">
        <f>"40160-9X50B"</f>
        <v>40160-9X50B</v>
      </c>
      <c r="B4504" t="str">
        <f>"Шаровая опора"</f>
        <v>Шаровая опора</v>
      </c>
      <c r="C4504">
        <v>0</v>
      </c>
      <c r="D4504">
        <v>3768.6959999999999</v>
      </c>
    </row>
    <row r="4505" spans="1:4">
      <c r="A4505" t="str">
        <f>"40173-EG000"</f>
        <v>40173-EG000</v>
      </c>
      <c r="B4505" t="str">
        <f>"Подушка шаровой опор"</f>
        <v>Подушка шаровой опор</v>
      </c>
      <c r="C4505">
        <v>4</v>
      </c>
      <c r="D4505">
        <v>239.08799999999999</v>
      </c>
    </row>
    <row r="4506" spans="1:4">
      <c r="A4506" t="str">
        <f>"40178-7S010"</f>
        <v>40178-7S010</v>
      </c>
      <c r="B4506" t="str">
        <f>"Болт рычага подвески"</f>
        <v>Болт рычага подвески</v>
      </c>
      <c r="C4506">
        <v>10</v>
      </c>
      <c r="D4506">
        <v>130.56</v>
      </c>
    </row>
    <row r="4507" spans="1:4">
      <c r="A4507" t="str">
        <f>"40178-EB36C"</f>
        <v>40178-EB36C</v>
      </c>
      <c r="B4507" t="str">
        <f>"Болт рычага"</f>
        <v>Болт рычага</v>
      </c>
      <c r="C4507">
        <v>2</v>
      </c>
      <c r="D4507">
        <v>259.89600000000002</v>
      </c>
    </row>
    <row r="4508" spans="1:4">
      <c r="A4508" t="str">
        <f>"40202-0M010"</f>
        <v>40202-0M010</v>
      </c>
      <c r="B4508" t="str">
        <f>"HUB ASSY-ROAD W"</f>
        <v>HUB ASSY-ROAD W</v>
      </c>
      <c r="C4508">
        <v>3</v>
      </c>
      <c r="D4508">
        <v>4111.0079999999998</v>
      </c>
    </row>
    <row r="4509" spans="1:4">
      <c r="A4509" t="str">
        <f>"40202-1AA0A"</f>
        <v>40202-1AA0A</v>
      </c>
      <c r="B4509" t="str">
        <f>"Ступица передняя"</f>
        <v>Ступица передняя</v>
      </c>
      <c r="C4509">
        <v>12</v>
      </c>
      <c r="D4509">
        <v>9483.9599999999991</v>
      </c>
    </row>
    <row r="4510" spans="1:4">
      <c r="A4510" t="str">
        <f>"40202-1AB0A"</f>
        <v>40202-1AB0A</v>
      </c>
      <c r="B4510" t="str">
        <f>"Ступица передняя"</f>
        <v>Ступица передняя</v>
      </c>
      <c r="C4510">
        <v>34</v>
      </c>
      <c r="D4510">
        <v>9437.8559999999998</v>
      </c>
    </row>
    <row r="4511" spans="1:4">
      <c r="A4511" t="str">
        <f>"40202-1KA0A"</f>
        <v>40202-1KA0A</v>
      </c>
      <c r="B4511" t="str">
        <f>"Ступица передняя"</f>
        <v>Ступица передняя</v>
      </c>
      <c r="C4511">
        <v>0</v>
      </c>
      <c r="D4511">
        <v>8274.24</v>
      </c>
    </row>
    <row r="4512" spans="1:4">
      <c r="A4512" t="str">
        <f>"40202-2F000"</f>
        <v>40202-2F000</v>
      </c>
      <c r="B4512" t="str">
        <f>"HUB ASSY-ROAD W"</f>
        <v>HUB ASSY-ROAD W</v>
      </c>
      <c r="C4512">
        <v>5</v>
      </c>
      <c r="D4512">
        <v>5751.9839999999995</v>
      </c>
    </row>
    <row r="4513" spans="1:4">
      <c r="A4513" t="str">
        <f>"40202-2Y010"</f>
        <v>40202-2Y010</v>
      </c>
      <c r="B4513" t="str">
        <f>"HUB ASSY-ROAD W"</f>
        <v>HUB ASSY-ROAD W</v>
      </c>
      <c r="C4513">
        <v>23</v>
      </c>
      <c r="D4513">
        <v>3868.2479999999996</v>
      </c>
    </row>
    <row r="4514" spans="1:4">
      <c r="A4514" t="str">
        <f>"40202-31U10"</f>
        <v>40202-31U10</v>
      </c>
      <c r="B4514" t="str">
        <f>"HUB ASSY-ROAD W"</f>
        <v>HUB ASSY-ROAD W</v>
      </c>
      <c r="C4514">
        <v>3</v>
      </c>
      <c r="D4514">
        <v>4342.3440000000001</v>
      </c>
    </row>
    <row r="4515" spans="1:4">
      <c r="A4515" t="str">
        <f>"40202-4M405"</f>
        <v>40202-4M405</v>
      </c>
      <c r="B4515" t="str">
        <f>"HUB ASSY-ROAD W"</f>
        <v>HUB ASSY-ROAD W</v>
      </c>
      <c r="C4515">
        <v>3</v>
      </c>
      <c r="D4515">
        <v>3515.7360000000003</v>
      </c>
    </row>
    <row r="4516" spans="1:4">
      <c r="A4516" t="str">
        <f>"40202-4X01A"</f>
        <v>40202-4X01A</v>
      </c>
      <c r="B4516" t="str">
        <f>"Ступица передняя 4WD"</f>
        <v>Ступица передняя 4WD</v>
      </c>
      <c r="C4516">
        <v>147</v>
      </c>
      <c r="D4516">
        <v>10132.271999999999</v>
      </c>
    </row>
    <row r="4517" spans="1:4">
      <c r="A4517" t="str">
        <f>"40202-7S100"</f>
        <v>40202-7S100</v>
      </c>
      <c r="B4517" t="str">
        <f>"Ступица передняя"</f>
        <v>Ступица передняя</v>
      </c>
      <c r="C4517">
        <v>25</v>
      </c>
      <c r="D4517">
        <v>7096.7519999999995</v>
      </c>
    </row>
    <row r="4518" spans="1:4">
      <c r="A4518" t="str">
        <f>"40202-95F0A"</f>
        <v>40202-95F0A</v>
      </c>
      <c r="B4518" t="str">
        <f>"Ступица передняя"</f>
        <v>Ступица передняя</v>
      </c>
      <c r="C4518">
        <v>3</v>
      </c>
      <c r="D4518">
        <v>4997.1839999999993</v>
      </c>
    </row>
    <row r="4519" spans="1:4">
      <c r="A4519" t="str">
        <f>"40202-AL56C"</f>
        <v>40202-AL56C</v>
      </c>
      <c r="B4519" t="str">
        <f>"Ступица передняя"</f>
        <v>Ступица передняя</v>
      </c>
      <c r="C4519">
        <v>23</v>
      </c>
      <c r="D4519">
        <v>5630.808</v>
      </c>
    </row>
    <row r="4520" spans="1:4">
      <c r="A4520" t="str">
        <f>"40202-BU000"</f>
        <v>40202-BU000</v>
      </c>
      <c r="B4520" t="str">
        <f>"HUB ASSY-ROAD W"</f>
        <v>HUB ASSY-ROAD W</v>
      </c>
      <c r="C4520">
        <v>2</v>
      </c>
      <c r="D4520">
        <v>6089.808</v>
      </c>
    </row>
    <row r="4521" spans="1:4">
      <c r="A4521" t="str">
        <f>"40202-EJ70A"</f>
        <v>40202-EJ70A</v>
      </c>
      <c r="B4521" t="str">
        <f t="shared" ref="B4521:B4526" si="90">"Ступица передняя"</f>
        <v>Ступица передняя</v>
      </c>
      <c r="C4521">
        <v>0</v>
      </c>
      <c r="D4521">
        <v>9690.8160000000007</v>
      </c>
    </row>
    <row r="4522" spans="1:4">
      <c r="A4522" t="str">
        <f>"40202-EJ70B"</f>
        <v>40202-EJ70B</v>
      </c>
      <c r="B4522" t="str">
        <f t="shared" si="90"/>
        <v>Ступица передняя</v>
      </c>
      <c r="C4522">
        <v>8</v>
      </c>
      <c r="D4522">
        <v>8130.6239999999998</v>
      </c>
    </row>
    <row r="4523" spans="1:4">
      <c r="A4523" t="str">
        <f>"40202-JG01A"</f>
        <v>40202-JG01A</v>
      </c>
      <c r="B4523" t="str">
        <f t="shared" si="90"/>
        <v>Ступица передняя</v>
      </c>
      <c r="C4523">
        <v>0</v>
      </c>
      <c r="D4523">
        <v>7222.4160000000002</v>
      </c>
    </row>
    <row r="4524" spans="1:4">
      <c r="A4524" t="str">
        <f>"40202-VB226"</f>
        <v>40202-VB226</v>
      </c>
      <c r="B4524" t="str">
        <f t="shared" si="90"/>
        <v>Ступица передняя</v>
      </c>
      <c r="C4524">
        <v>4</v>
      </c>
      <c r="D4524">
        <v>10737.744000000001</v>
      </c>
    </row>
    <row r="4525" spans="1:4">
      <c r="A4525" t="str">
        <f>"40202-ZM70A"</f>
        <v>40202-ZM70A</v>
      </c>
      <c r="B4525" t="str">
        <f t="shared" si="90"/>
        <v>Ступица передняя</v>
      </c>
      <c r="C4525">
        <v>13</v>
      </c>
      <c r="D4525">
        <v>6631.6319999999996</v>
      </c>
    </row>
    <row r="4526" spans="1:4">
      <c r="A4526" t="str">
        <f>"40202-ZR40B"</f>
        <v>40202-ZR40B</v>
      </c>
      <c r="B4526" t="str">
        <f t="shared" si="90"/>
        <v>Ступица передняя</v>
      </c>
      <c r="C4526">
        <v>2</v>
      </c>
      <c r="D4526">
        <v>9882.1679999999997</v>
      </c>
    </row>
    <row r="4527" spans="1:4">
      <c r="A4527" t="str">
        <f>"40202-ZW70A"</f>
        <v>40202-ZW70A</v>
      </c>
      <c r="B4527" t="str">
        <f>"Ступица колесная"</f>
        <v>Ступица колесная</v>
      </c>
      <c r="C4527">
        <v>0</v>
      </c>
      <c r="D4527">
        <v>6197.1120000000001</v>
      </c>
    </row>
    <row r="4528" spans="1:4">
      <c r="A4528" t="str">
        <f>"40204-AX600"</f>
        <v>40204-AX600</v>
      </c>
      <c r="B4528" t="str">
        <f>"HUB-FRONT WHEEL"</f>
        <v>HUB-FRONT WHEEL</v>
      </c>
      <c r="C4528">
        <v>6</v>
      </c>
      <c r="D4528">
        <v>6475.7759999999989</v>
      </c>
    </row>
    <row r="4529" spans="1:4">
      <c r="A4529" t="str">
        <f>"40206-0F001"</f>
        <v>40206-0F001</v>
      </c>
      <c r="B4529" t="str">
        <f>"ROTOR-DISC BRAK"</f>
        <v>ROTOR-DISC BRAK</v>
      </c>
      <c r="C4529">
        <v>2</v>
      </c>
      <c r="D4529">
        <v>2906.5919999999996</v>
      </c>
    </row>
    <row r="4530" spans="1:4">
      <c r="A4530" t="str">
        <f>"40206-0M6X2"</f>
        <v>40206-0M6X2</v>
      </c>
      <c r="B4530" t="str">
        <f>"Диск тормозной перед"</f>
        <v>Диск тормозной перед</v>
      </c>
      <c r="C4530">
        <v>4</v>
      </c>
      <c r="D4530">
        <v>2453.3040000000001</v>
      </c>
    </row>
    <row r="4531" spans="1:4">
      <c r="A4531" t="str">
        <f>"40206-0M801"</f>
        <v>40206-0M801</v>
      </c>
      <c r="B4531" t="str">
        <f>"ROTOR-DISC BRAK"</f>
        <v>ROTOR-DISC BRAK</v>
      </c>
      <c r="C4531">
        <v>2</v>
      </c>
      <c r="D4531">
        <v>2580.6</v>
      </c>
    </row>
    <row r="4532" spans="1:4">
      <c r="A4532" t="str">
        <f>"40206-1KA3A"</f>
        <v>40206-1KA3A</v>
      </c>
      <c r="B4532" t="str">
        <f>"Диск тормозной перед"</f>
        <v>Диск тормозной перед</v>
      </c>
      <c r="C4532">
        <v>2</v>
      </c>
      <c r="D4532">
        <v>2302.752</v>
      </c>
    </row>
    <row r="4533" spans="1:4">
      <c r="A4533" t="str">
        <f>"40206-1KC1B"</f>
        <v>40206-1KC1B</v>
      </c>
      <c r="B4533" t="str">
        <f>"Диск тормозной перед"</f>
        <v>Диск тормозной перед</v>
      </c>
      <c r="C4533">
        <v>10</v>
      </c>
      <c r="D4533">
        <v>3096.3120000000004</v>
      </c>
    </row>
    <row r="4534" spans="1:4">
      <c r="A4534" t="str">
        <f>"40206-1LA2A"</f>
        <v>40206-1LA2A</v>
      </c>
      <c r="B4534" t="str">
        <f>"Диск тормозной перед"</f>
        <v>Диск тормозной перед</v>
      </c>
      <c r="C4534">
        <v>0</v>
      </c>
      <c r="D4534">
        <v>3187.2959999999998</v>
      </c>
    </row>
    <row r="4535" spans="1:4">
      <c r="A4535" t="str">
        <f>"40206-21T00"</f>
        <v>40206-21T00</v>
      </c>
      <c r="B4535" t="str">
        <f>"ROTOR-DISC BRAK"</f>
        <v>ROTOR-DISC BRAK</v>
      </c>
      <c r="C4535">
        <v>1</v>
      </c>
      <c r="D4535">
        <v>3148.5360000000001</v>
      </c>
    </row>
    <row r="4536" spans="1:4">
      <c r="A4536" t="str">
        <f>"40206-2F501"</f>
        <v>40206-2F501</v>
      </c>
      <c r="B4536" t="str">
        <f>"ROTOR-DISC BRAK"</f>
        <v>ROTOR-DISC BRAK</v>
      </c>
      <c r="C4536">
        <v>10</v>
      </c>
      <c r="D4536">
        <v>2642.6159999999995</v>
      </c>
    </row>
    <row r="4537" spans="1:4">
      <c r="A4537" t="str">
        <f>"40206-2L903"</f>
        <v>40206-2L903</v>
      </c>
      <c r="B4537" t="str">
        <f>"ROTOR DISC-BRAK"</f>
        <v>ROTOR DISC-BRAK</v>
      </c>
      <c r="C4537">
        <v>4</v>
      </c>
      <c r="D4537">
        <v>3096.3120000000004</v>
      </c>
    </row>
    <row r="4538" spans="1:4">
      <c r="A4538" t="str">
        <f>"40206-2N301"</f>
        <v>40206-2N301</v>
      </c>
      <c r="B4538" t="str">
        <f>"ROTOR-DISC BRAK"</f>
        <v>ROTOR-DISC BRAK</v>
      </c>
      <c r="C4538">
        <v>1</v>
      </c>
      <c r="D4538">
        <v>2448</v>
      </c>
    </row>
    <row r="4539" spans="1:4">
      <c r="A4539" t="str">
        <f>"40206-2Y505"</f>
        <v>40206-2Y505</v>
      </c>
      <c r="B4539" t="str">
        <f>"ROTOR DISC-BRAK"</f>
        <v>ROTOR DISC-BRAK</v>
      </c>
      <c r="C4539">
        <v>2</v>
      </c>
      <c r="D4539">
        <v>3096.3120000000004</v>
      </c>
    </row>
    <row r="4540" spans="1:4">
      <c r="A4540" t="str">
        <f>"40206-3U80A"</f>
        <v>40206-3U80A</v>
      </c>
      <c r="B4540" t="str">
        <f>"Диск тормозной перед"</f>
        <v>Диск тормозной перед</v>
      </c>
      <c r="C4540">
        <v>4</v>
      </c>
      <c r="D4540">
        <v>1701.768</v>
      </c>
    </row>
    <row r="4541" spans="1:4">
      <c r="A4541" t="str">
        <f>"40206-4N000"</f>
        <v>40206-4N000</v>
      </c>
      <c r="B4541" t="str">
        <f>"ROTOR DISC-BRAK"</f>
        <v>ROTOR DISC-BRAK</v>
      </c>
      <c r="C4541">
        <v>6</v>
      </c>
      <c r="D4541">
        <v>3096.3120000000004</v>
      </c>
    </row>
    <row r="4542" spans="1:4">
      <c r="A4542" t="str">
        <f>"40206-4U107"</f>
        <v>40206-4U107</v>
      </c>
      <c r="B4542" t="str">
        <f>"ROTOR-DISC BRAK"</f>
        <v>ROTOR-DISC BRAK</v>
      </c>
      <c r="C4542">
        <v>8</v>
      </c>
      <c r="D4542">
        <v>2647.1039999999998</v>
      </c>
    </row>
    <row r="4543" spans="1:4">
      <c r="A4543" t="str">
        <f>"40206-5X00A"</f>
        <v>40206-5X00A</v>
      </c>
      <c r="B4543" t="str">
        <f>"Диск тормозной перед"</f>
        <v>Диск тормозной перед</v>
      </c>
      <c r="C4543">
        <v>0</v>
      </c>
      <c r="D4543">
        <v>1948.1999999999998</v>
      </c>
    </row>
    <row r="4544" spans="1:4">
      <c r="A4544" t="str">
        <f>"40206-6W500"</f>
        <v>40206-6W500</v>
      </c>
      <c r="B4544" t="str">
        <f>"ROTOR-DISC BRAK"</f>
        <v>ROTOR-DISC BRAK</v>
      </c>
      <c r="C4544">
        <v>2</v>
      </c>
      <c r="D4544">
        <v>3096.3120000000004</v>
      </c>
    </row>
    <row r="4545" spans="1:4">
      <c r="A4545" t="str">
        <f>"40206-93J01"</f>
        <v>40206-93J01</v>
      </c>
      <c r="B4545" t="str">
        <f>"ROTOR-DISC BRAK"</f>
        <v>ROTOR-DISC BRAK</v>
      </c>
      <c r="C4545">
        <v>8</v>
      </c>
      <c r="D4545">
        <v>2164.848</v>
      </c>
    </row>
    <row r="4546" spans="1:4">
      <c r="A4546" t="str">
        <f>"40206-95F0B"</f>
        <v>40206-95F0B</v>
      </c>
      <c r="B4546" t="str">
        <f>"Диск тормозной перед"</f>
        <v>Диск тормозной перед</v>
      </c>
      <c r="C4546">
        <v>4</v>
      </c>
      <c r="D4546">
        <v>2580.6</v>
      </c>
    </row>
    <row r="4547" spans="1:4">
      <c r="A4547" t="str">
        <f>"40206-9C101"</f>
        <v>40206-9C101</v>
      </c>
      <c r="B4547" t="str">
        <f>"ROTOR-DISC BRAK"</f>
        <v>ROTOR-DISC BRAK</v>
      </c>
      <c r="C4547">
        <v>2</v>
      </c>
      <c r="D4547">
        <v>2313.3599999999997</v>
      </c>
    </row>
    <row r="4548" spans="1:4">
      <c r="A4548" t="str">
        <f>"40206-9J400"</f>
        <v>40206-9J400</v>
      </c>
      <c r="B4548" t="str">
        <f>"Диск тормозной перед"</f>
        <v>Диск тормозной перед</v>
      </c>
      <c r="C4548">
        <v>8</v>
      </c>
      <c r="D4548">
        <v>3096.3120000000004</v>
      </c>
    </row>
    <row r="4549" spans="1:4">
      <c r="A4549" t="str">
        <f>"40206-9Y000"</f>
        <v>40206-9Y000</v>
      </c>
      <c r="B4549" t="str">
        <f>"Диск тормозной перед"</f>
        <v>Диск тормозной перед</v>
      </c>
      <c r="C4549">
        <v>5</v>
      </c>
      <c r="D4549">
        <v>3096.3120000000004</v>
      </c>
    </row>
    <row r="4550" spans="1:4">
      <c r="A4550" t="str">
        <f>"40206-AG020"</f>
        <v>40206-AG020</v>
      </c>
      <c r="B4550" t="str">
        <f>"ROTOR DISC BRAK"</f>
        <v>ROTOR DISC BRAK</v>
      </c>
      <c r="C4550">
        <v>4</v>
      </c>
      <c r="D4550">
        <v>3187.2959999999998</v>
      </c>
    </row>
    <row r="4551" spans="1:4">
      <c r="A4551" t="str">
        <f>"40206-AM800"</f>
        <v>40206-AM800</v>
      </c>
      <c r="B4551" t="str">
        <f>"ROTOR ASSY DISC"</f>
        <v>ROTOR ASSY DISC</v>
      </c>
      <c r="C4551">
        <v>8</v>
      </c>
      <c r="D4551">
        <v>3096.3120000000004</v>
      </c>
    </row>
    <row r="4552" spans="1:4">
      <c r="A4552" t="str">
        <f>"40206-AN001"</f>
        <v>40206-AN001</v>
      </c>
      <c r="B4552" t="str">
        <f>"Диск тормозной перед"</f>
        <v>Диск тормозной перед</v>
      </c>
      <c r="C4552">
        <v>4</v>
      </c>
      <c r="D4552">
        <v>1701.768</v>
      </c>
    </row>
    <row r="4553" spans="1:4">
      <c r="A4553" t="str">
        <f>"40206-AX600"</f>
        <v>40206-AX600</v>
      </c>
      <c r="B4553" t="str">
        <f>"ROTOR-DISC BRAK"</f>
        <v>ROTOR-DISC BRAK</v>
      </c>
      <c r="C4553">
        <v>20</v>
      </c>
      <c r="D4553">
        <v>1687.0800000000002</v>
      </c>
    </row>
    <row r="4554" spans="1:4">
      <c r="A4554" t="str">
        <f>"40206-CL70A"</f>
        <v>40206-CL70A</v>
      </c>
      <c r="B4554" t="str">
        <f>"Диск тормозной перед"</f>
        <v>Диск тормозной перед</v>
      </c>
      <c r="C4554">
        <v>0</v>
      </c>
      <c r="D4554">
        <v>3605.4959999999996</v>
      </c>
    </row>
    <row r="4555" spans="1:4">
      <c r="A4555" t="str">
        <f>"40206-CN00A"</f>
        <v>40206-CN00A</v>
      </c>
      <c r="B4555" t="str">
        <f>"Диск тормозной перед"</f>
        <v>Диск тормозной перед</v>
      </c>
      <c r="C4555">
        <v>0</v>
      </c>
      <c r="D4555">
        <v>3096.3120000000004</v>
      </c>
    </row>
    <row r="4556" spans="1:4">
      <c r="A4556" t="str">
        <f>"40206-CT40A"</f>
        <v>40206-CT40A</v>
      </c>
      <c r="B4556" t="str">
        <f>"Диск тормозной перед"</f>
        <v>Диск тормозной перед</v>
      </c>
      <c r="C4556">
        <v>6</v>
      </c>
      <c r="D4556">
        <v>1701.768</v>
      </c>
    </row>
    <row r="4557" spans="1:4">
      <c r="A4557" t="str">
        <f>"40206-EA00A"</f>
        <v>40206-EA00A</v>
      </c>
      <c r="B4557" t="str">
        <f>"Диск тормозной перед"</f>
        <v>Диск тормозной перед</v>
      </c>
      <c r="C4557">
        <v>6</v>
      </c>
      <c r="D4557">
        <v>4697.3040000000001</v>
      </c>
    </row>
    <row r="4558" spans="1:4">
      <c r="A4558" t="str">
        <f>"40206-EB300"</f>
        <v>40206-EB300</v>
      </c>
      <c r="B4558" t="str">
        <f>"ROTOR-DISC BRAK"</f>
        <v>ROTOR-DISC BRAK</v>
      </c>
      <c r="C4558">
        <v>9</v>
      </c>
      <c r="D4558">
        <v>3096.3120000000004</v>
      </c>
    </row>
    <row r="4559" spans="1:4">
      <c r="A4559" t="str">
        <f>"40206-EG000"</f>
        <v>40206-EG000</v>
      </c>
      <c r="B4559" t="str">
        <f>"Диск тормозной перед"</f>
        <v>Диск тормозной перед</v>
      </c>
      <c r="C4559">
        <v>0</v>
      </c>
      <c r="D4559">
        <v>3096.3120000000004</v>
      </c>
    </row>
    <row r="4560" spans="1:4">
      <c r="A4560" t="str">
        <f>"40206-EM10A"</f>
        <v>40206-EM10A</v>
      </c>
      <c r="B4560" t="str">
        <f>"Диск тормозной перед"</f>
        <v>Диск тормозной перед</v>
      </c>
      <c r="C4560">
        <v>8</v>
      </c>
      <c r="D4560">
        <v>3364.3679999999999</v>
      </c>
    </row>
    <row r="4561" spans="1:4">
      <c r="A4561" t="str">
        <f>"40206-ET01A"</f>
        <v>40206-ET01A</v>
      </c>
      <c r="B4561" t="str">
        <f>"Диск тормозной перед"</f>
        <v>Диск тормозной перед</v>
      </c>
      <c r="C4561">
        <v>4</v>
      </c>
      <c r="D4561">
        <v>2774.4</v>
      </c>
    </row>
    <row r="4562" spans="1:4">
      <c r="A4562" t="str">
        <f>"40206-ET02C"</f>
        <v>40206-ET02C</v>
      </c>
      <c r="B4562" t="str">
        <f>"Диск тормозной перед"</f>
        <v>Диск тормозной перед</v>
      </c>
      <c r="C4562">
        <v>6</v>
      </c>
      <c r="D4562">
        <v>2576.9279999999999</v>
      </c>
    </row>
    <row r="4563" spans="1:4">
      <c r="A4563" t="str">
        <f>"40206-G9500"</f>
        <v>40206-G9500</v>
      </c>
      <c r="B4563" t="str">
        <f>"BRAKE DISC"</f>
        <v>BRAKE DISC</v>
      </c>
      <c r="C4563">
        <v>2</v>
      </c>
      <c r="D4563">
        <v>2959.6320000000001</v>
      </c>
    </row>
    <row r="4564" spans="1:4">
      <c r="A4564" t="str">
        <f>"40206-JD00A"</f>
        <v>40206-JD00A</v>
      </c>
      <c r="B4564" t="str">
        <f>"Диск тормозной перед"</f>
        <v>Диск тормозной перед</v>
      </c>
      <c r="C4564">
        <v>5</v>
      </c>
      <c r="D4564">
        <v>2647.1039999999998</v>
      </c>
    </row>
    <row r="4565" spans="1:4">
      <c r="A4565" t="str">
        <f>"40206-JK600"</f>
        <v>40206-JK600</v>
      </c>
      <c r="B4565" t="str">
        <f>"Диск тормозной перед"</f>
        <v>Диск тормозной перед</v>
      </c>
      <c r="C4565">
        <v>6</v>
      </c>
      <c r="D4565">
        <v>3711.576</v>
      </c>
    </row>
    <row r="4566" spans="1:4">
      <c r="A4566" t="str">
        <f>"40206-JL00A"</f>
        <v>40206-JL00A</v>
      </c>
      <c r="B4566" t="str">
        <f>"Диск тормозной перед"</f>
        <v>Диск тормозной перед</v>
      </c>
      <c r="C4566">
        <v>4</v>
      </c>
      <c r="D4566">
        <v>3096.3120000000004</v>
      </c>
    </row>
    <row r="4567" spans="1:4">
      <c r="A4567" t="str">
        <f>"40206-JN90A"</f>
        <v>40206-JN90A</v>
      </c>
      <c r="B4567" t="str">
        <f>"Диск тормозной перед"</f>
        <v>Диск тормозной перед</v>
      </c>
      <c r="C4567">
        <v>0</v>
      </c>
      <c r="D4567">
        <v>2756.8560000000002</v>
      </c>
    </row>
    <row r="4568" spans="1:4">
      <c r="A4568" t="str">
        <f>"40206-VB000"</f>
        <v>40206-VB000</v>
      </c>
      <c r="B4568" t="str">
        <f>"ROTOR-DISC BRAK"</f>
        <v>ROTOR-DISC BRAK</v>
      </c>
      <c r="C4568">
        <v>9</v>
      </c>
      <c r="D4568">
        <v>3096.3120000000004</v>
      </c>
    </row>
    <row r="4569" spans="1:4">
      <c r="A4569" t="str">
        <f>"40206-VC200"</f>
        <v>40206-VC200</v>
      </c>
      <c r="B4569" t="str">
        <f>"ROTOR-DISC BRAK"</f>
        <v>ROTOR-DISC BRAK</v>
      </c>
      <c r="C4569">
        <v>2</v>
      </c>
      <c r="D4569">
        <v>3096.3120000000004</v>
      </c>
    </row>
    <row r="4570" spans="1:4">
      <c r="A4570" t="str">
        <f>"40206-VE400"</f>
        <v>40206-VE400</v>
      </c>
      <c r="B4570" t="str">
        <f>"ROTOR-DISK BRAK"</f>
        <v>ROTOR-DISK BRAK</v>
      </c>
      <c r="C4570">
        <v>6</v>
      </c>
      <c r="D4570">
        <v>3096.3120000000004</v>
      </c>
    </row>
    <row r="4571" spans="1:4">
      <c r="A4571" t="str">
        <f>"40206-VJ200"</f>
        <v>40206-VJ200</v>
      </c>
      <c r="B4571" t="str">
        <f>"ROTOR-DISC BRAK"</f>
        <v>ROTOR-DISC BRAK</v>
      </c>
      <c r="C4571">
        <v>1</v>
      </c>
      <c r="D4571">
        <v>2448</v>
      </c>
    </row>
    <row r="4572" spans="1:4">
      <c r="A4572" t="str">
        <f>"40206-ZC00B"</f>
        <v>40206-ZC00B</v>
      </c>
      <c r="B4572" t="str">
        <f>"Диск тормозной перед"</f>
        <v>Диск тормозной перед</v>
      </c>
      <c r="C4572">
        <v>12</v>
      </c>
      <c r="D4572">
        <v>6714.4560000000001</v>
      </c>
    </row>
    <row r="4573" spans="1:4">
      <c r="A4573" t="str">
        <f>"40206-ZC60A"</f>
        <v>40206-ZC60A</v>
      </c>
      <c r="B4573" t="str">
        <f>"Диск тормозной перед"</f>
        <v>Диск тормозной перед</v>
      </c>
      <c r="C4573">
        <v>10</v>
      </c>
      <c r="D4573">
        <v>6799.7279999999992</v>
      </c>
    </row>
    <row r="4574" spans="1:4">
      <c r="A4574" t="str">
        <f>"40206-ZM00A"</f>
        <v>40206-ZM00A</v>
      </c>
      <c r="B4574" t="str">
        <f>"Диск тормозной перед"</f>
        <v>Диск тормозной перед</v>
      </c>
      <c r="C4574">
        <v>1</v>
      </c>
      <c r="D4574">
        <v>4817.6639999999998</v>
      </c>
    </row>
    <row r="4575" spans="1:4">
      <c r="A4575" t="str">
        <f>"40206-ZR01A"</f>
        <v>40206-ZR01A</v>
      </c>
      <c r="B4575" t="str">
        <f>"Диск тормозной перед"</f>
        <v>Диск тормозной перед</v>
      </c>
      <c r="C4575">
        <v>0</v>
      </c>
      <c r="D4575">
        <v>5759.3279999999995</v>
      </c>
    </row>
    <row r="4576" spans="1:4">
      <c r="A4576" t="str">
        <f>"40210-05U00"</f>
        <v>40210-05U00</v>
      </c>
      <c r="B4576" t="str">
        <f>"BEARING ASSY-FR"</f>
        <v>BEARING ASSY-FR</v>
      </c>
      <c r="C4576">
        <v>0</v>
      </c>
      <c r="D4576">
        <v>1379.4479999999999</v>
      </c>
    </row>
    <row r="4577" spans="1:4">
      <c r="A4577" t="str">
        <f>"40210-0Z800"</f>
        <v>40210-0Z800</v>
      </c>
      <c r="B4577" t="str">
        <f>"Подшипник ступич"</f>
        <v>Подшипник ступич</v>
      </c>
      <c r="C4577">
        <v>2</v>
      </c>
      <c r="D4577">
        <v>2107.3199999999997</v>
      </c>
    </row>
    <row r="4578" spans="1:4">
      <c r="A4578" t="str">
        <f>"40210-2Y000"</f>
        <v>40210-2Y000</v>
      </c>
      <c r="B4578" t="str">
        <f>"BEARING ASSY-FR"</f>
        <v>BEARING ASSY-FR</v>
      </c>
      <c r="C4578">
        <v>40</v>
      </c>
      <c r="D4578">
        <v>1889.4479999999999</v>
      </c>
    </row>
    <row r="4579" spans="1:4">
      <c r="A4579" t="str">
        <f>"40210-30R01"</f>
        <v>40210-30R01</v>
      </c>
      <c r="B4579" t="str">
        <f>"BEARING ASSY-FR"</f>
        <v>BEARING ASSY-FR</v>
      </c>
      <c r="C4579">
        <v>6</v>
      </c>
      <c r="D4579">
        <v>1383.9359999999999</v>
      </c>
    </row>
    <row r="4580" spans="1:4">
      <c r="A4580" t="str">
        <f>"40210-33P07"</f>
        <v>40210-33P07</v>
      </c>
      <c r="B4580" t="str">
        <f>"BEARING ASSY-FR"</f>
        <v>BEARING ASSY-FR</v>
      </c>
      <c r="C4580">
        <v>10</v>
      </c>
      <c r="D4580">
        <v>667.89600000000007</v>
      </c>
    </row>
    <row r="4581" spans="1:4">
      <c r="A4581" t="str">
        <f>"40210-3Z000"</f>
        <v>40210-3Z000</v>
      </c>
      <c r="B4581" t="str">
        <f>"Подшипник ступицы ша"</f>
        <v>Подшипник ступицы ша</v>
      </c>
      <c r="C4581">
        <v>0</v>
      </c>
      <c r="D4581">
        <v>1064.8799999999999</v>
      </c>
    </row>
    <row r="4582" spans="1:4">
      <c r="A4582" t="str">
        <f>"40210-41B00"</f>
        <v>40210-41B00</v>
      </c>
      <c r="B4582" t="str">
        <f>"BEARING ASSY-FR"</f>
        <v>BEARING ASSY-FR</v>
      </c>
      <c r="C4582">
        <v>1</v>
      </c>
      <c r="D4582">
        <v>1175.856</v>
      </c>
    </row>
    <row r="4583" spans="1:4">
      <c r="A4583" t="str">
        <f>"40210-4Z000"</f>
        <v>40210-4Z000</v>
      </c>
      <c r="B4583" t="str">
        <f>"BEARING ASSY"</f>
        <v>BEARING ASSY</v>
      </c>
      <c r="C4583">
        <v>2</v>
      </c>
      <c r="D4583">
        <v>1658.9280000000001</v>
      </c>
    </row>
    <row r="4584" spans="1:4">
      <c r="A4584" t="str">
        <f>"40210-50W00"</f>
        <v>40210-50W00</v>
      </c>
      <c r="B4584" t="str">
        <f>"BEARING ASSY-FR"</f>
        <v>BEARING ASSY-FR</v>
      </c>
      <c r="C4584">
        <v>33</v>
      </c>
      <c r="D4584">
        <v>840.07199999999989</v>
      </c>
    </row>
    <row r="4585" spans="1:4">
      <c r="A4585" t="str">
        <f>"40210-50Y00"</f>
        <v>40210-50Y00</v>
      </c>
      <c r="B4585" t="str">
        <f>"BEARING ASSY-FR"</f>
        <v>BEARING ASSY-FR</v>
      </c>
      <c r="C4585">
        <v>20</v>
      </c>
      <c r="D4585">
        <v>1336.6079999999999</v>
      </c>
    </row>
    <row r="4586" spans="1:4">
      <c r="A4586" t="str">
        <f>"40210-7S210"</f>
        <v>40210-7S210</v>
      </c>
      <c r="B4586" t="str">
        <f>"Подшипник ступиц"</f>
        <v>Подшипник ступиц</v>
      </c>
      <c r="C4586">
        <v>0</v>
      </c>
      <c r="D4586">
        <v>1044.0719999999999</v>
      </c>
    </row>
    <row r="4587" spans="1:4">
      <c r="A4587" t="str">
        <f>"40210-95F0A"</f>
        <v>40210-95F0A</v>
      </c>
      <c r="B4587" t="str">
        <f>"Подшипник ступицы ша"</f>
        <v>Подшипник ступицы ша</v>
      </c>
      <c r="C4587">
        <v>0</v>
      </c>
      <c r="D4587">
        <v>674.83199999999999</v>
      </c>
    </row>
    <row r="4588" spans="1:4">
      <c r="A4588" t="str">
        <f>"40210-99B00"</f>
        <v>40210-99B00</v>
      </c>
      <c r="B4588" t="str">
        <f>"BEARING ASSY-FR"</f>
        <v>BEARING ASSY-FR</v>
      </c>
      <c r="C4588">
        <v>0</v>
      </c>
      <c r="D4588">
        <v>900.04799999999989</v>
      </c>
    </row>
    <row r="4589" spans="1:4">
      <c r="A4589" t="str">
        <f>"40210-AA000"</f>
        <v>40210-AA000</v>
      </c>
      <c r="B4589" t="str">
        <f>"BEARING ASSY-FR"</f>
        <v>BEARING ASSY-FR</v>
      </c>
      <c r="C4589">
        <v>31</v>
      </c>
      <c r="D4589">
        <v>1735.2239999999999</v>
      </c>
    </row>
    <row r="4590" spans="1:4">
      <c r="A4590" t="str">
        <f>"40210-AL800"</f>
        <v>40210-AL800</v>
      </c>
      <c r="B4590" t="str">
        <f>"Подшипник ступицы ша"</f>
        <v>Подшипник ступицы ша</v>
      </c>
      <c r="C4590">
        <v>20</v>
      </c>
      <c r="D4590">
        <v>3550.0080000000003</v>
      </c>
    </row>
    <row r="4591" spans="1:4">
      <c r="A4591" t="str">
        <f>"40210-AX000"</f>
        <v>40210-AX000</v>
      </c>
      <c r="B4591" t="str">
        <f>"BEARING ASSY-FR"</f>
        <v>BEARING ASSY-FR</v>
      </c>
      <c r="C4591">
        <v>131</v>
      </c>
      <c r="D4591">
        <v>1158.72</v>
      </c>
    </row>
    <row r="4592" spans="1:4">
      <c r="A4592" t="str">
        <f>"40210-WL020"</f>
        <v>40210-WL020</v>
      </c>
      <c r="B4592" t="str">
        <f>"Подшипник ступицы ша"</f>
        <v>Подшипник ступицы ша</v>
      </c>
      <c r="C4592">
        <v>10</v>
      </c>
      <c r="D4592">
        <v>3238.2959999999998</v>
      </c>
    </row>
    <row r="4593" spans="1:4">
      <c r="A4593" t="str">
        <f>"40214-00QAA"</f>
        <v>40214-00QAA</v>
      </c>
      <c r="B4593" t="str">
        <f>"RING-SNAP"</f>
        <v>RING-SNAP</v>
      </c>
      <c r="C4593">
        <v>0</v>
      </c>
      <c r="D4593">
        <v>35.087999999999994</v>
      </c>
    </row>
    <row r="4594" spans="1:4">
      <c r="A4594" t="str">
        <f>"40214-01E10"</f>
        <v>40214-01E10</v>
      </c>
      <c r="B4594" t="str">
        <f>"RING-SNAP"</f>
        <v>RING-SNAP</v>
      </c>
      <c r="C4594">
        <v>23</v>
      </c>
      <c r="D4594">
        <v>62.423999999999999</v>
      </c>
    </row>
    <row r="4595" spans="1:4">
      <c r="A4595" t="str">
        <f>"40214-05U00"</f>
        <v>40214-05U00</v>
      </c>
      <c r="B4595" t="str">
        <f>"RING-SNAP"</f>
        <v>RING-SNAP</v>
      </c>
      <c r="C4595">
        <v>1</v>
      </c>
      <c r="D4595">
        <v>92.207999999999998</v>
      </c>
    </row>
    <row r="4596" spans="1:4">
      <c r="A4596" t="str">
        <f>"40214-30R00"</f>
        <v>40214-30R00</v>
      </c>
      <c r="B4596" t="str">
        <f>"RING-SNAP"</f>
        <v>RING-SNAP</v>
      </c>
      <c r="C4596">
        <v>0</v>
      </c>
      <c r="D4596">
        <v>89.759999999999991</v>
      </c>
    </row>
    <row r="4597" spans="1:4">
      <c r="A4597" t="str">
        <f>"40214-50Y00"</f>
        <v>40214-50Y00</v>
      </c>
      <c r="B4597" t="str">
        <f>"RING-SNAP"</f>
        <v>RING-SNAP</v>
      </c>
      <c r="C4597">
        <v>33</v>
      </c>
      <c r="D4597">
        <v>93.432000000000002</v>
      </c>
    </row>
    <row r="4598" spans="1:4">
      <c r="A4598" t="str">
        <f>"40214-95F0A"</f>
        <v>40214-95F0A</v>
      </c>
      <c r="B4598" t="str">
        <f>"Стопорное кольцо под"</f>
        <v>Стопорное кольцо под</v>
      </c>
      <c r="C4598">
        <v>51</v>
      </c>
      <c r="D4598">
        <v>94.655999999999992</v>
      </c>
    </row>
    <row r="4599" spans="1:4">
      <c r="A4599" t="str">
        <f>"40214-AG100"</f>
        <v>40214-AG100</v>
      </c>
      <c r="B4599" t="str">
        <f>"RING-SNAP"</f>
        <v>RING-SNAP</v>
      </c>
      <c r="C4599">
        <v>16</v>
      </c>
      <c r="D4599">
        <v>93.023999999999987</v>
      </c>
    </row>
    <row r="4600" spans="1:4">
      <c r="A4600" t="str">
        <f>"40215-50W00"</f>
        <v>40215-50W00</v>
      </c>
      <c r="B4600" t="str">
        <f>"BEARING ASSY-FR"</f>
        <v>BEARING ASSY-FR</v>
      </c>
      <c r="C4600">
        <v>19</v>
      </c>
      <c r="D4600">
        <v>660.95999999999992</v>
      </c>
    </row>
    <row r="4601" spans="1:4">
      <c r="A4601" t="str">
        <f>"40215-A0100"</f>
        <v>40215-A0100</v>
      </c>
      <c r="B4601" t="str">
        <f>"BRG RR WHEEL OU"</f>
        <v>BRG RR WHEEL OU</v>
      </c>
      <c r="C4601">
        <v>7</v>
      </c>
      <c r="D4601">
        <v>412.08</v>
      </c>
    </row>
    <row r="4602" spans="1:4">
      <c r="A4602" t="str">
        <f>"40215-C6000"</f>
        <v>40215-C6000</v>
      </c>
      <c r="B4602" t="str">
        <f>"BEARING ASSY-FR"</f>
        <v>BEARING ASSY-FR</v>
      </c>
      <c r="C4602">
        <v>18</v>
      </c>
      <c r="D4602">
        <v>700.12800000000004</v>
      </c>
    </row>
    <row r="4603" spans="1:4">
      <c r="A4603" t="str">
        <f>"40218-31G00"</f>
        <v>40218-31G00</v>
      </c>
      <c r="B4603" t="str">
        <f>"WASHER-THRUST"</f>
        <v>WASHER-THRUST</v>
      </c>
      <c r="C4603">
        <v>24</v>
      </c>
      <c r="D4603">
        <v>132.6</v>
      </c>
    </row>
    <row r="4604" spans="1:4">
      <c r="A4604" t="str">
        <f>"40219-31G00"</f>
        <v>40219-31G00</v>
      </c>
      <c r="B4604" t="str">
        <f>"WASH-SPECIAL UP"</f>
        <v>WASH-SPECIAL UP</v>
      </c>
      <c r="C4604">
        <v>19</v>
      </c>
      <c r="D4604">
        <v>121.58399999999999</v>
      </c>
    </row>
    <row r="4605" spans="1:4">
      <c r="A4605" t="str">
        <f>"40219-88G00"</f>
        <v>40219-88G00</v>
      </c>
      <c r="B4605" t="str">
        <f>"WASH-SPECIAL UP"</f>
        <v>WASH-SPECIAL UP</v>
      </c>
      <c r="C4605">
        <v>19</v>
      </c>
      <c r="D4605">
        <v>90.167999999999992</v>
      </c>
    </row>
    <row r="4606" spans="1:4">
      <c r="A4606" t="str">
        <f>"40222-0F00A"</f>
        <v>40222-0F00A</v>
      </c>
      <c r="B4606" t="str">
        <f>"Шпилька колеса"</f>
        <v>Шпилька колеса</v>
      </c>
      <c r="C4606">
        <v>27</v>
      </c>
      <c r="D4606">
        <v>448.392</v>
      </c>
    </row>
    <row r="4607" spans="1:4">
      <c r="A4607" t="str">
        <f>"40222-0F00B"</f>
        <v>40222-0F00B</v>
      </c>
      <c r="B4607" t="str">
        <f>"Шпилька колеса"</f>
        <v>Шпилька колеса</v>
      </c>
      <c r="C4607">
        <v>26</v>
      </c>
      <c r="D4607">
        <v>76.295999999999992</v>
      </c>
    </row>
    <row r="4608" spans="1:4">
      <c r="A4608" t="str">
        <f>"40222-22001"</f>
        <v>40222-22001</v>
      </c>
      <c r="B4608" t="str">
        <f>"BOLT-HUB"</f>
        <v>BOLT-HUB</v>
      </c>
      <c r="C4608">
        <v>51</v>
      </c>
      <c r="D4608">
        <v>69.36</v>
      </c>
    </row>
    <row r="4609" spans="1:4">
      <c r="A4609" t="str">
        <f>"40222-7B000"</f>
        <v>40222-7B000</v>
      </c>
      <c r="B4609" t="str">
        <f>"Шпилька колеса"</f>
        <v>Шпилька колеса</v>
      </c>
      <c r="C4609">
        <v>49</v>
      </c>
      <c r="D4609">
        <v>62.831999999999994</v>
      </c>
    </row>
    <row r="4610" spans="1:4">
      <c r="A4610" t="str">
        <f>"40222-A0800"</f>
        <v>40222-A0800</v>
      </c>
      <c r="B4610" t="str">
        <f>"BOLT-HUB"</f>
        <v>BOLT-HUB</v>
      </c>
      <c r="C4610">
        <v>81</v>
      </c>
      <c r="D4610">
        <v>82.007999999999996</v>
      </c>
    </row>
    <row r="4611" spans="1:4">
      <c r="A4611" t="str">
        <f>"40222-BC40A"</f>
        <v>40222-BC40A</v>
      </c>
      <c r="B4611" t="str">
        <f>"Шпилька колеса"</f>
        <v>Шпилька колеса</v>
      </c>
      <c r="C4611">
        <v>25</v>
      </c>
      <c r="D4611">
        <v>117.50399999999999</v>
      </c>
    </row>
    <row r="4612" spans="1:4">
      <c r="A4612" t="str">
        <f>"40222-C6000"</f>
        <v>40222-C6000</v>
      </c>
      <c r="B4612" t="str">
        <f>"BOLT-HUB"</f>
        <v>BOLT-HUB</v>
      </c>
      <c r="C4612">
        <v>60</v>
      </c>
      <c r="D4612">
        <v>115.056</v>
      </c>
    </row>
    <row r="4613" spans="1:4">
      <c r="A4613" t="str">
        <f>"40222-C6001"</f>
        <v>40222-C6001</v>
      </c>
      <c r="B4613" t="str">
        <f>"BOLT-HUB"</f>
        <v>BOLT-HUB</v>
      </c>
      <c r="C4613">
        <v>91</v>
      </c>
      <c r="D4613">
        <v>115.056</v>
      </c>
    </row>
    <row r="4614" spans="1:4">
      <c r="A4614" t="str">
        <f>"40224-1LA2A"</f>
        <v>40224-1LA2A</v>
      </c>
      <c r="B4614" t="str">
        <f>"Гайка колесного диск"</f>
        <v>Гайка колесного диск</v>
      </c>
      <c r="C4614">
        <v>0</v>
      </c>
      <c r="D4614">
        <v>165.23999999999998</v>
      </c>
    </row>
    <row r="4615" spans="1:4">
      <c r="A4615" t="str">
        <f>"40224-32J0A"</f>
        <v>40224-32J0A</v>
      </c>
      <c r="B4615" t="str">
        <f>"Гайка колесного диск"</f>
        <v>Гайка колесного диск</v>
      </c>
      <c r="C4615">
        <v>11</v>
      </c>
      <c r="D4615">
        <v>148.91999999999999</v>
      </c>
    </row>
    <row r="4616" spans="1:4">
      <c r="A4616" t="str">
        <f>"40224-40P00"</f>
        <v>40224-40P00</v>
      </c>
      <c r="B4616" t="str">
        <f>"NUT-ROAD WHEEL"</f>
        <v>NUT-ROAD WHEEL</v>
      </c>
      <c r="C4616">
        <v>34</v>
      </c>
      <c r="D4616">
        <v>64.055999999999997</v>
      </c>
    </row>
    <row r="4617" spans="1:4">
      <c r="A4617" t="str">
        <f>"40224-43N0A"</f>
        <v>40224-43N0A</v>
      </c>
      <c r="B4617" t="str">
        <f>"Гайка колесного диск"</f>
        <v>Гайка колесного диск</v>
      </c>
      <c r="C4617">
        <v>24</v>
      </c>
      <c r="D4617">
        <v>78.744</v>
      </c>
    </row>
    <row r="4618" spans="1:4">
      <c r="A4618" t="str">
        <f>"40224-95F0A"</f>
        <v>40224-95F0A</v>
      </c>
      <c r="B4618" t="str">
        <f>"Гайка колесного диск"</f>
        <v>Гайка колесного диск</v>
      </c>
      <c r="C4618">
        <v>35</v>
      </c>
      <c r="D4618">
        <v>82.823999999999998</v>
      </c>
    </row>
    <row r="4619" spans="1:4">
      <c r="A4619" t="str">
        <f>"40224-EJ20A"</f>
        <v>40224-EJ20A</v>
      </c>
      <c r="B4619" t="str">
        <f>"Гайка колесного диск"</f>
        <v>Гайка колесного диск</v>
      </c>
      <c r="C4619">
        <v>40</v>
      </c>
      <c r="D4619">
        <v>42.431999999999995</v>
      </c>
    </row>
    <row r="4620" spans="1:4">
      <c r="A4620" t="str">
        <f>"40224-JK00A"</f>
        <v>40224-JK00A</v>
      </c>
      <c r="B4620" t="str">
        <f>"Гайка колесного диск"</f>
        <v>Гайка колесного диск</v>
      </c>
      <c r="C4620">
        <v>5</v>
      </c>
      <c r="D4620">
        <v>136.68</v>
      </c>
    </row>
    <row r="4621" spans="1:4">
      <c r="A4621" t="str">
        <f>"40224-V5510"</f>
        <v>40224-V5510</v>
      </c>
      <c r="B4621" t="str">
        <f>"NUT-ROAD WHEEL"</f>
        <v>NUT-ROAD WHEEL</v>
      </c>
      <c r="C4621">
        <v>0</v>
      </c>
      <c r="D4621">
        <v>81.599999999999994</v>
      </c>
    </row>
    <row r="4622" spans="1:4">
      <c r="A4622" t="str">
        <f>"40224-ZP50A"</f>
        <v>40224-ZP50A</v>
      </c>
      <c r="B4622" t="str">
        <f>"Гайка колесного диск"</f>
        <v>Гайка колесного диск</v>
      </c>
      <c r="C4622">
        <v>209</v>
      </c>
      <c r="D4622">
        <v>122.80799999999999</v>
      </c>
    </row>
    <row r="4623" spans="1:4">
      <c r="A4623" t="str">
        <f>"40224-ZP53A"</f>
        <v>40224-ZP53A</v>
      </c>
      <c r="B4623" t="str">
        <f>"Гайка колесная"</f>
        <v>Гайка колесная</v>
      </c>
      <c r="C4623">
        <v>14</v>
      </c>
      <c r="D4623">
        <v>163.19999999999999</v>
      </c>
    </row>
    <row r="4624" spans="1:4">
      <c r="A4624" t="str">
        <f>"40227-0P001"</f>
        <v>40227-0P001</v>
      </c>
      <c r="B4624" t="str">
        <f>"Сальник привода"</f>
        <v>Сальник привода</v>
      </c>
      <c r="C4624">
        <v>3</v>
      </c>
      <c r="D4624">
        <v>190.12799999999999</v>
      </c>
    </row>
    <row r="4625" spans="1:4">
      <c r="A4625" t="str">
        <f>"40227-0P002"</f>
        <v>40227-0P002</v>
      </c>
      <c r="B4625" t="str">
        <f>"Сальник привода"</f>
        <v>Сальник привода</v>
      </c>
      <c r="C4625">
        <v>1</v>
      </c>
      <c r="D4625">
        <v>190.12799999999999</v>
      </c>
    </row>
    <row r="4626" spans="1:4">
      <c r="A4626" t="str">
        <f>"40227-31G00"</f>
        <v>40227-31G00</v>
      </c>
      <c r="B4626" t="str">
        <f>"SEAL-GREASE"</f>
        <v>SEAL-GREASE</v>
      </c>
      <c r="C4626">
        <v>3</v>
      </c>
      <c r="D4626">
        <v>293.35199999999998</v>
      </c>
    </row>
    <row r="4627" spans="1:4">
      <c r="A4627" t="str">
        <f>"40227-31G01"</f>
        <v>40227-31G01</v>
      </c>
      <c r="B4627" t="str">
        <f>"SEAL-OIL INNER"</f>
        <v>SEAL-OIL INNER</v>
      </c>
      <c r="C4627">
        <v>10</v>
      </c>
      <c r="D4627">
        <v>999.59999999999991</v>
      </c>
    </row>
    <row r="4628" spans="1:4">
      <c r="A4628" t="str">
        <f>"40227-4F100"</f>
        <v>40227-4F100</v>
      </c>
      <c r="B4628" t="str">
        <f>"SEAL-DUST"</f>
        <v>SEAL-DUST</v>
      </c>
      <c r="C4628">
        <v>3</v>
      </c>
      <c r="D4628">
        <v>175.43999999999997</v>
      </c>
    </row>
    <row r="4629" spans="1:4">
      <c r="A4629" t="str">
        <f>"40227-50Y11"</f>
        <v>40227-50Y11</v>
      </c>
      <c r="B4629" t="str">
        <f>"SEAL-DUST"</f>
        <v>SEAL-DUST</v>
      </c>
      <c r="C4629">
        <v>12</v>
      </c>
      <c r="D4629">
        <v>257.03999999999996</v>
      </c>
    </row>
    <row r="4630" spans="1:4">
      <c r="A4630" t="str">
        <f>"40227-7F000"</f>
        <v>40227-7F000</v>
      </c>
      <c r="B4630" t="str">
        <f>"SEAL-DUST"</f>
        <v>SEAL-DUST</v>
      </c>
      <c r="C4630">
        <v>7</v>
      </c>
      <c r="D4630">
        <v>394.12799999999999</v>
      </c>
    </row>
    <row r="4631" spans="1:4">
      <c r="A4631" t="str">
        <f>"40227-C8200"</f>
        <v>40227-C8200</v>
      </c>
      <c r="B4631" t="str">
        <f>"SEAL-DUST"</f>
        <v>SEAL-DUST</v>
      </c>
      <c r="C4631">
        <v>4</v>
      </c>
      <c r="D4631">
        <v>257.03999999999996</v>
      </c>
    </row>
    <row r="4632" spans="1:4">
      <c r="A4632" t="str">
        <f>"40227-EA000"</f>
        <v>40227-EA000</v>
      </c>
      <c r="B4632" t="str">
        <f>"Сальник привода"</f>
        <v>Сальник привода</v>
      </c>
      <c r="C4632">
        <v>3</v>
      </c>
      <c r="D4632">
        <v>190.12799999999999</v>
      </c>
    </row>
    <row r="4633" spans="1:4">
      <c r="A4633" t="str">
        <f>"40228-01J10"</f>
        <v>40228-01J10</v>
      </c>
      <c r="B4633" t="str">
        <f>"O RING"</f>
        <v>O RING</v>
      </c>
      <c r="C4633">
        <v>23</v>
      </c>
      <c r="D4633">
        <v>596.904</v>
      </c>
    </row>
    <row r="4634" spans="1:4">
      <c r="A4634" t="str">
        <f>"40232-01G00"</f>
        <v>40232-01G00</v>
      </c>
      <c r="B4634" t="str">
        <f>"SEAL HUB FRONT"</f>
        <v>SEAL HUB FRONT</v>
      </c>
      <c r="C4634">
        <v>5</v>
      </c>
      <c r="D4634">
        <v>252.14400000000001</v>
      </c>
    </row>
    <row r="4635" spans="1:4">
      <c r="A4635" t="str">
        <f>"40232-01J00"</f>
        <v>40232-01J00</v>
      </c>
      <c r="B4635" t="str">
        <f>"SEAL HUB FRONT"</f>
        <v>SEAL HUB FRONT</v>
      </c>
      <c r="C4635">
        <v>0</v>
      </c>
      <c r="D4635">
        <v>252.14400000000001</v>
      </c>
    </row>
    <row r="4636" spans="1:4">
      <c r="A4636" t="str">
        <f>"40232-0F000"</f>
        <v>40232-0F000</v>
      </c>
      <c r="B4636" t="str">
        <f>"SEAL HUB FRONT"</f>
        <v>SEAL HUB FRONT</v>
      </c>
      <c r="C4636">
        <v>0</v>
      </c>
      <c r="D4636">
        <v>337.82399999999996</v>
      </c>
    </row>
    <row r="4637" spans="1:4">
      <c r="A4637" t="str">
        <f>"40232-21B00"</f>
        <v>40232-21B00</v>
      </c>
      <c r="B4637" t="str">
        <f>"SEAL-GREASE,FRO"</f>
        <v>SEAL-GREASE,FRO</v>
      </c>
      <c r="C4637">
        <v>7</v>
      </c>
      <c r="D4637">
        <v>244.392</v>
      </c>
    </row>
    <row r="4638" spans="1:4">
      <c r="A4638" t="str">
        <f>"40232-2F001"</f>
        <v>40232-2F001</v>
      </c>
      <c r="B4638" t="str">
        <f>"SEAL HUB FRONT"</f>
        <v>SEAL HUB FRONT</v>
      </c>
      <c r="C4638">
        <v>21</v>
      </c>
      <c r="D4638">
        <v>177.88800000000001</v>
      </c>
    </row>
    <row r="4639" spans="1:4">
      <c r="A4639" t="str">
        <f>"40232-31G00"</f>
        <v>40232-31G00</v>
      </c>
      <c r="B4639" t="str">
        <f>"SEAL HUB FRONT"</f>
        <v>SEAL HUB FRONT</v>
      </c>
      <c r="C4639">
        <v>0</v>
      </c>
      <c r="D4639">
        <v>252.14400000000001</v>
      </c>
    </row>
    <row r="4640" spans="1:4">
      <c r="A4640" t="str">
        <f>"40232-33P00"</f>
        <v>40232-33P00</v>
      </c>
      <c r="B4640" t="str">
        <f>"SEAL HUB FRONT"</f>
        <v>SEAL HUB FRONT</v>
      </c>
      <c r="C4640">
        <v>1</v>
      </c>
      <c r="D4640">
        <v>260.71199999999999</v>
      </c>
    </row>
    <row r="4641" spans="1:4">
      <c r="A4641" t="str">
        <f>"40232-4F100"</f>
        <v>40232-4F100</v>
      </c>
      <c r="B4641" t="str">
        <f>"SEAL-GREASE,FRO"</f>
        <v>SEAL-GREASE,FRO</v>
      </c>
      <c r="C4641">
        <v>10</v>
      </c>
      <c r="D4641">
        <v>170.952</v>
      </c>
    </row>
    <row r="4642" spans="1:4">
      <c r="A4642" t="str">
        <f>"40232-50Y10"</f>
        <v>40232-50Y10</v>
      </c>
      <c r="B4642" t="str">
        <f>"SEAL HUB FRONT"</f>
        <v>SEAL HUB FRONT</v>
      </c>
      <c r="C4642">
        <v>2</v>
      </c>
      <c r="D4642">
        <v>252.14400000000001</v>
      </c>
    </row>
    <row r="4643" spans="1:4">
      <c r="A4643" t="str">
        <f>"40232-51E10"</f>
        <v>40232-51E10</v>
      </c>
      <c r="B4643" t="str">
        <f>"SEAL HUB FRONT"</f>
        <v>SEAL HUB FRONT</v>
      </c>
      <c r="C4643">
        <v>2</v>
      </c>
      <c r="D4643">
        <v>252.14400000000001</v>
      </c>
    </row>
    <row r="4644" spans="1:4">
      <c r="A4644" t="str">
        <f>"40232-9X50A"</f>
        <v>40232-9X50A</v>
      </c>
      <c r="B4644" t="str">
        <f>"Сальник передней сту"</f>
        <v>Сальник передней сту</v>
      </c>
      <c r="C4644">
        <v>23</v>
      </c>
      <c r="D4644">
        <v>144.84</v>
      </c>
    </row>
    <row r="4645" spans="1:4">
      <c r="A4645" t="str">
        <f>"40234-00Q0B"</f>
        <v>40234-00Q0B</v>
      </c>
      <c r="B4645" t="str">
        <f>"Крышка муфты"</f>
        <v>Крышка муфты</v>
      </c>
      <c r="C4645">
        <v>0</v>
      </c>
      <c r="D4645">
        <v>215.01599999999999</v>
      </c>
    </row>
    <row r="4646" spans="1:4">
      <c r="A4646" t="str">
        <f>"40234-79G00"</f>
        <v>40234-79G00</v>
      </c>
      <c r="B4646" t="str">
        <f>"CAP-DRIVE FLG F"</f>
        <v>CAP-DRIVE FLG F</v>
      </c>
      <c r="C4646">
        <v>4</v>
      </c>
      <c r="D4646">
        <v>430.03199999999998</v>
      </c>
    </row>
    <row r="4647" spans="1:4">
      <c r="A4647" t="str">
        <f>"40250-01J0A"</f>
        <v>40250-01J0A</v>
      </c>
      <c r="B4647" t="str">
        <f>"Муфта включения мост"</f>
        <v>Муфта включения мост</v>
      </c>
      <c r="C4647">
        <v>4</v>
      </c>
      <c r="D4647">
        <v>10193.879999999999</v>
      </c>
    </row>
    <row r="4648" spans="1:4">
      <c r="A4648" t="str">
        <f>"40250-20J01"</f>
        <v>40250-20J01</v>
      </c>
      <c r="B4648" t="str">
        <f>"HUB ASSY-FREE R"</f>
        <v>HUB ASSY-FREE R</v>
      </c>
      <c r="C4648">
        <v>3</v>
      </c>
      <c r="D4648">
        <v>11418.287999999999</v>
      </c>
    </row>
    <row r="4649" spans="1:4">
      <c r="A4649" t="str">
        <f>"40250-VB20A"</f>
        <v>40250-VB20A</v>
      </c>
      <c r="B4649" t="str">
        <f>"Муфта включения мост"</f>
        <v>Муфта включения мост</v>
      </c>
      <c r="C4649">
        <v>19</v>
      </c>
      <c r="D4649">
        <v>9463.56</v>
      </c>
    </row>
    <row r="4650" spans="1:4">
      <c r="A4650" t="str">
        <f>"40254-00QAB"</f>
        <v>40254-00QAB</v>
      </c>
      <c r="B4650" t="str">
        <f>"BOLT"</f>
        <v>BOLT</v>
      </c>
      <c r="C4650">
        <v>4</v>
      </c>
      <c r="D4650">
        <v>84.048000000000002</v>
      </c>
    </row>
    <row r="4651" spans="1:4">
      <c r="A4651" t="str">
        <f>"40257-7F000"</f>
        <v>40257-7F000</v>
      </c>
      <c r="B4651" t="str">
        <f>"BRAKE SET-FREE"</f>
        <v>BRAKE SET-FREE</v>
      </c>
      <c r="C4651">
        <v>12</v>
      </c>
      <c r="D4651">
        <v>1696.8719999999998</v>
      </c>
    </row>
    <row r="4652" spans="1:4">
      <c r="A4652" t="str">
        <f>"40262-02J10"</f>
        <v>40262-02J10</v>
      </c>
      <c r="B4652" t="str">
        <f>"NUT-LOCK FRONT"</f>
        <v>NUT-LOCK FRONT</v>
      </c>
      <c r="C4652">
        <v>0</v>
      </c>
      <c r="D4652">
        <v>204</v>
      </c>
    </row>
    <row r="4653" spans="1:4">
      <c r="A4653" t="str">
        <f>"40262-2Y000"</f>
        <v>40262-2Y000</v>
      </c>
      <c r="B4653" t="str">
        <f>"NUT-LOCK FRONT"</f>
        <v>NUT-LOCK FRONT</v>
      </c>
      <c r="C4653">
        <v>13</v>
      </c>
      <c r="D4653">
        <v>149.328</v>
      </c>
    </row>
    <row r="4654" spans="1:4">
      <c r="A4654" t="str">
        <f>"40262-4M400"</f>
        <v>40262-4M400</v>
      </c>
      <c r="B4654" t="str">
        <f>"NUT-LOCK FRONT"</f>
        <v>NUT-LOCK FRONT</v>
      </c>
      <c r="C4654">
        <v>8</v>
      </c>
      <c r="D4654">
        <v>117.91200000000001</v>
      </c>
    </row>
    <row r="4655" spans="1:4">
      <c r="A4655" t="str">
        <f>"40262-50W00"</f>
        <v>40262-50W00</v>
      </c>
      <c r="B4655" t="str">
        <f>"O RING FREE RUN"</f>
        <v>O RING FREE RUN</v>
      </c>
      <c r="C4655">
        <v>14</v>
      </c>
      <c r="D4655">
        <v>57.936</v>
      </c>
    </row>
    <row r="4656" spans="1:4">
      <c r="A4656" t="str">
        <f>"40262-92G00"</f>
        <v>40262-92G00</v>
      </c>
      <c r="B4656" t="str">
        <f>"NUT-LOCK FRONT"</f>
        <v>NUT-LOCK FRONT</v>
      </c>
      <c r="C4656">
        <v>4</v>
      </c>
      <c r="D4656">
        <v>392.904</v>
      </c>
    </row>
    <row r="4657" spans="1:4">
      <c r="A4657" t="str">
        <f>"40262-EB36C"</f>
        <v>40262-EB36C</v>
      </c>
      <c r="B4657" t="str">
        <f>"Гайка ступичная"</f>
        <v>Гайка ступичная</v>
      </c>
      <c r="C4657">
        <v>13</v>
      </c>
      <c r="D4657">
        <v>98.327999999999989</v>
      </c>
    </row>
    <row r="4658" spans="1:4">
      <c r="A4658" t="str">
        <f>"40262-JA000"</f>
        <v>40262-JA000</v>
      </c>
      <c r="B4658" t="str">
        <f>"Гайка"</f>
        <v>Гайка</v>
      </c>
      <c r="C4658">
        <v>20</v>
      </c>
      <c r="D4658">
        <v>136.68</v>
      </c>
    </row>
    <row r="4659" spans="1:4">
      <c r="A4659" t="str">
        <f>"40264-02J10"</f>
        <v>40264-02J10</v>
      </c>
      <c r="B4659" t="str">
        <f>"WASHER-FRONT WH"</f>
        <v>WASHER-FRONT WH</v>
      </c>
      <c r="C4659">
        <v>14</v>
      </c>
      <c r="D4659">
        <v>141.16800000000001</v>
      </c>
    </row>
    <row r="4660" spans="1:4">
      <c r="A4660" t="str">
        <f>"40264-50J05"</f>
        <v>40264-50J05</v>
      </c>
      <c r="B4660" t="str">
        <f>"WASHER LOCK NUT"</f>
        <v>WASHER LOCK NUT</v>
      </c>
      <c r="C4660">
        <v>9</v>
      </c>
      <c r="D4660">
        <v>188.49600000000001</v>
      </c>
    </row>
    <row r="4661" spans="1:4">
      <c r="A4661" t="str">
        <f>"40265-50W00"</f>
        <v>40265-50W00</v>
      </c>
      <c r="B4661" t="str">
        <f>"SPRING-BRAKE FR"</f>
        <v>SPRING-BRAKE FR</v>
      </c>
      <c r="C4661">
        <v>67</v>
      </c>
      <c r="D4661">
        <v>81.191999999999993</v>
      </c>
    </row>
    <row r="4662" spans="1:4">
      <c r="A4662" t="str">
        <f>"40266-50W00"</f>
        <v>40266-50W00</v>
      </c>
      <c r="B4662" t="str">
        <f>"BOLT-HUB FREE R"</f>
        <v>BOLT-HUB FREE R</v>
      </c>
      <c r="C4662">
        <v>29</v>
      </c>
      <c r="D4662">
        <v>76.295999999999992</v>
      </c>
    </row>
    <row r="4663" spans="1:4">
      <c r="A4663" t="str">
        <f>"40267-34G00"</f>
        <v>40267-34G00</v>
      </c>
      <c r="B4663" t="str">
        <f>"BRAKE SET"</f>
        <v>BRAKE SET</v>
      </c>
      <c r="C4663">
        <v>25</v>
      </c>
      <c r="D4663">
        <v>1188.912</v>
      </c>
    </row>
    <row r="4664" spans="1:4">
      <c r="A4664" t="str">
        <f>"40267-88G00"</f>
        <v>40267-88G00</v>
      </c>
      <c r="B4664" t="str">
        <f>"BRAKE SET"</f>
        <v>BRAKE SET</v>
      </c>
      <c r="C4664">
        <v>7</v>
      </c>
      <c r="D4664">
        <v>1239.0959999999998</v>
      </c>
    </row>
    <row r="4665" spans="1:4">
      <c r="A4665" t="str">
        <f>"40300-04U20"</f>
        <v>40300-04U20</v>
      </c>
      <c r="B4665" t="str">
        <f>"WHEEL ASSY-DISC"</f>
        <v>WHEEL ASSY-DISC</v>
      </c>
      <c r="C4665">
        <v>1</v>
      </c>
      <c r="D4665">
        <v>1489.6079999999999</v>
      </c>
    </row>
    <row r="4666" spans="1:4">
      <c r="A4666" t="str">
        <f>"40300-CB025"</f>
        <v>40300-CB025</v>
      </c>
      <c r="B4666" t="str">
        <f>"Диск колеса литой 18"</f>
        <v>Диск колеса литой 18</v>
      </c>
      <c r="C4666">
        <v>1</v>
      </c>
      <c r="D4666">
        <v>28770.935999999998</v>
      </c>
    </row>
    <row r="4667" spans="1:4">
      <c r="A4667" t="str">
        <f>"40300-JG11E"</f>
        <v>40300-JG11E</v>
      </c>
      <c r="B4667" t="str">
        <f>"Диск колеса"</f>
        <v>Диск колеса</v>
      </c>
      <c r="C4667">
        <v>0</v>
      </c>
      <c r="D4667">
        <v>21854.111999999997</v>
      </c>
    </row>
    <row r="4668" spans="1:4">
      <c r="A4668" t="str">
        <f>"40300-JN12C"</f>
        <v>40300-JN12C</v>
      </c>
      <c r="B4668" t="str">
        <f>"Диск колеса"</f>
        <v>Диск колеса</v>
      </c>
      <c r="C4668">
        <v>2</v>
      </c>
      <c r="D4668">
        <v>25463.688000000002</v>
      </c>
    </row>
    <row r="4669" spans="1:4">
      <c r="A4669" t="str">
        <f>"40315-1F516"</f>
        <v>40315-1F516</v>
      </c>
      <c r="B4669" t="str">
        <f>"CAP-DISC WHEEL"</f>
        <v>CAP-DISC WHEEL</v>
      </c>
      <c r="C4669">
        <v>2</v>
      </c>
      <c r="D4669">
        <v>1539.3839999999998</v>
      </c>
    </row>
    <row r="4670" spans="1:4">
      <c r="A4670" t="str">
        <f>"40315-4N011"</f>
        <v>40315-4N011</v>
      </c>
      <c r="B4670" t="str">
        <f>"CAP-DISC WHEEL"</f>
        <v>CAP-DISC WHEEL</v>
      </c>
      <c r="C4670">
        <v>1</v>
      </c>
      <c r="D4670">
        <v>1632</v>
      </c>
    </row>
    <row r="4671" spans="1:4">
      <c r="A4671" t="str">
        <f>"40315-95F0C"</f>
        <v>40315-95F0C</v>
      </c>
      <c r="B4671" t="str">
        <f>"Колпак колеса декора"</f>
        <v>Колпак колеса декора</v>
      </c>
      <c r="C4671">
        <v>3</v>
      </c>
      <c r="D4671">
        <v>1306.8239999999998</v>
      </c>
    </row>
    <row r="4672" spans="1:4">
      <c r="A4672" t="str">
        <f>"40315-95F0F"</f>
        <v>40315-95F0F</v>
      </c>
      <c r="B4672" t="str">
        <f>"Колпак колеса декора"</f>
        <v>Колпак колеса декора</v>
      </c>
      <c r="C4672">
        <v>1</v>
      </c>
      <c r="D4672">
        <v>2034.6959999999999</v>
      </c>
    </row>
    <row r="4673" spans="1:4">
      <c r="A4673" t="str">
        <f>"40315-9U00A"</f>
        <v>40315-9U00A</v>
      </c>
      <c r="B4673" t="str">
        <f>"Колпак колеса декора"</f>
        <v>Колпак колеса декора</v>
      </c>
      <c r="C4673">
        <v>0</v>
      </c>
      <c r="D4673">
        <v>1892.712</v>
      </c>
    </row>
    <row r="4674" spans="1:4">
      <c r="A4674" t="str">
        <f>"40315-9W63A"</f>
        <v>40315-9W63A</v>
      </c>
      <c r="B4674" t="str">
        <f>"Колпак колеса декора"</f>
        <v>Колпак колеса декора</v>
      </c>
      <c r="C4674">
        <v>5</v>
      </c>
      <c r="D4674">
        <v>1434.9359999999999</v>
      </c>
    </row>
    <row r="4675" spans="1:4">
      <c r="A4675" t="str">
        <f>"40315-AV610"</f>
        <v>40315-AV610</v>
      </c>
      <c r="B4675" t="str">
        <f>"CAP-DISC WHEEL"</f>
        <v>CAP-DISC WHEEL</v>
      </c>
      <c r="C4675">
        <v>9</v>
      </c>
      <c r="D4675">
        <v>1883.328</v>
      </c>
    </row>
    <row r="4676" spans="1:4">
      <c r="A4676" t="str">
        <f>"40315-CG010"</f>
        <v>40315-CG010</v>
      </c>
      <c r="B4676" t="str">
        <f>"Колпак колеса"</f>
        <v>Колпак колеса</v>
      </c>
      <c r="C4676">
        <v>4</v>
      </c>
      <c r="D4676">
        <v>882.096</v>
      </c>
    </row>
    <row r="4677" spans="1:4">
      <c r="A4677" t="str">
        <f>"40315-CL84A"</f>
        <v>40315-CL84A</v>
      </c>
      <c r="B4677" t="str">
        <f>"Колпак колеса декора"</f>
        <v>Колпак колеса декора</v>
      </c>
      <c r="C4677">
        <v>8</v>
      </c>
      <c r="D4677">
        <v>1025.712</v>
      </c>
    </row>
    <row r="4678" spans="1:4">
      <c r="A4678" t="str">
        <f>"40315-EN10B"</f>
        <v>40315-EN10B</v>
      </c>
      <c r="B4678" t="str">
        <f>"Колпак колеса декора"</f>
        <v>Колпак колеса декора</v>
      </c>
      <c r="C4678">
        <v>4</v>
      </c>
      <c r="D4678">
        <v>1576.9199999999998</v>
      </c>
    </row>
    <row r="4679" spans="1:4">
      <c r="A4679" t="str">
        <f>"40315-JD000"</f>
        <v>40315-JD000</v>
      </c>
      <c r="B4679" t="str">
        <f>"Колпак колеса декора"</f>
        <v>Колпак колеса декора</v>
      </c>
      <c r="C4679">
        <v>6</v>
      </c>
      <c r="D4679">
        <v>2037.5519999999999</v>
      </c>
    </row>
    <row r="4680" spans="1:4">
      <c r="A4680" t="str">
        <f>"40315-JN02A"</f>
        <v>40315-JN02A</v>
      </c>
      <c r="B4680" t="str">
        <f>"Колпак колеса декора"</f>
        <v>Колпак колеса декора</v>
      </c>
      <c r="C4680">
        <v>13</v>
      </c>
      <c r="D4680">
        <v>1472.472</v>
      </c>
    </row>
    <row r="4681" spans="1:4">
      <c r="A4681" t="str">
        <f>"40315-ZN90A"</f>
        <v>40315-ZN90A</v>
      </c>
      <c r="B4681" t="str">
        <f>"Колпак колесного дис"</f>
        <v>Колпак колесного дис</v>
      </c>
      <c r="C4681">
        <v>1</v>
      </c>
      <c r="D4681">
        <v>2437.3919999999998</v>
      </c>
    </row>
    <row r="4682" spans="1:4">
      <c r="A4682" t="str">
        <f>"40342-2SA00"</f>
        <v>40342-2SA00</v>
      </c>
      <c r="B4682" t="str">
        <f>"Колпак колеса"</f>
        <v>Колпак колеса</v>
      </c>
      <c r="C4682">
        <v>2</v>
      </c>
      <c r="D4682">
        <v>1516.1279999999999</v>
      </c>
    </row>
    <row r="4683" spans="1:4">
      <c r="A4683" t="str">
        <f>"40342-5X60A"</f>
        <v>40342-5X60A</v>
      </c>
      <c r="B4683" t="str">
        <f>"Колпак колеса"</f>
        <v>Колпак колеса</v>
      </c>
      <c r="C4683">
        <v>2</v>
      </c>
      <c r="D4683">
        <v>746.23199999999997</v>
      </c>
    </row>
    <row r="4684" spans="1:4">
      <c r="A4684" t="str">
        <f>"40342-AU511"</f>
        <v>40342-AU511</v>
      </c>
      <c r="B4684" t="str">
        <f>"ORNAMENT-ROAD"</f>
        <v>ORNAMENT-ROAD</v>
      </c>
      <c r="C4684">
        <v>21</v>
      </c>
      <c r="D4684">
        <v>631.17600000000004</v>
      </c>
    </row>
    <row r="4685" spans="1:4">
      <c r="A4685" t="str">
        <f>"40342-AV610"</f>
        <v>40342-AV610</v>
      </c>
      <c r="B4685" t="str">
        <f>"ORNAMENT-DISC W"</f>
        <v>ORNAMENT-DISC W</v>
      </c>
      <c r="C4685">
        <v>0</v>
      </c>
      <c r="D4685">
        <v>391.67999999999995</v>
      </c>
    </row>
    <row r="4686" spans="1:4">
      <c r="A4686" t="str">
        <f>"40342-BR01A"</f>
        <v>40342-BR01A</v>
      </c>
      <c r="B4686" t="str">
        <f>"Колпак колеса"</f>
        <v>Колпак колеса</v>
      </c>
      <c r="C4686">
        <v>0</v>
      </c>
      <c r="D4686">
        <v>430.84800000000001</v>
      </c>
    </row>
    <row r="4687" spans="1:4">
      <c r="A4687" t="str">
        <f>"40342-EB210"</f>
        <v>40342-EB210</v>
      </c>
      <c r="B4687" t="str">
        <f>"ORNAMENT-DISC W"</f>
        <v>ORNAMENT-DISC W</v>
      </c>
      <c r="C4687">
        <v>4</v>
      </c>
      <c r="D4687">
        <v>244.392</v>
      </c>
    </row>
    <row r="4688" spans="1:4">
      <c r="A4688" t="str">
        <f>"40342-VC310"</f>
        <v>40342-VC310</v>
      </c>
      <c r="B4688" t="str">
        <f>"ORNAMENT-ROAD"</f>
        <v>ORNAMENT-ROAD</v>
      </c>
      <c r="C4688">
        <v>1</v>
      </c>
      <c r="D4688">
        <v>890.66399999999999</v>
      </c>
    </row>
    <row r="4689" spans="1:4">
      <c r="A4689" t="str">
        <f>"40342-VK400"</f>
        <v>40342-VK400</v>
      </c>
      <c r="B4689" t="str">
        <f>"Колпак колеса декора"</f>
        <v>Колпак колеса декора</v>
      </c>
      <c r="C4689">
        <v>6</v>
      </c>
      <c r="D4689">
        <v>1516.1279999999999</v>
      </c>
    </row>
    <row r="4690" spans="1:4">
      <c r="A4690" t="str">
        <f>"40343-1CA4A"</f>
        <v>40343-1CA4A</v>
      </c>
      <c r="B4690" t="str">
        <f>"Колпак колеса"</f>
        <v>Колпак колеса</v>
      </c>
      <c r="C4690">
        <v>2</v>
      </c>
      <c r="D4690">
        <v>1175.856</v>
      </c>
    </row>
    <row r="4691" spans="1:4">
      <c r="A4691" t="str">
        <f>"40343-1CJ4A"</f>
        <v>40343-1CJ4A</v>
      </c>
      <c r="B4691" t="str">
        <f>"Колпак колеса декора"</f>
        <v>Колпак колеса декора</v>
      </c>
      <c r="C4691">
        <v>3</v>
      </c>
      <c r="D4691">
        <v>1169.328</v>
      </c>
    </row>
    <row r="4692" spans="1:4">
      <c r="A4692" t="str">
        <f>"40343-1VW5B"</f>
        <v>40343-1VW5B</v>
      </c>
      <c r="B4692" t="str">
        <f>"Колпак колеса декора"</f>
        <v>Колпак колеса декора</v>
      </c>
      <c r="C4692">
        <v>5</v>
      </c>
      <c r="D4692">
        <v>716.85599999999999</v>
      </c>
    </row>
    <row r="4693" spans="1:4">
      <c r="A4693" t="str">
        <f>"40343-AU51A"</f>
        <v>40343-AU51A</v>
      </c>
      <c r="B4693" t="str">
        <f>"Колпак колеса декора"</f>
        <v>Колпак колеса декора</v>
      </c>
      <c r="C4693">
        <v>3</v>
      </c>
      <c r="D4693">
        <v>629.54399999999998</v>
      </c>
    </row>
    <row r="4694" spans="1:4">
      <c r="A4694" t="str">
        <f>"40343-EJ25A"</f>
        <v>40343-EJ25A</v>
      </c>
      <c r="B4694" t="str">
        <f>"Колпак колеса декора"</f>
        <v>Колпак колеса декора</v>
      </c>
      <c r="C4694">
        <v>1</v>
      </c>
      <c r="D4694">
        <v>716.85599999999999</v>
      </c>
    </row>
    <row r="4695" spans="1:4">
      <c r="A4695" t="str">
        <f>"40343-VC300"</f>
        <v>40343-VC300</v>
      </c>
      <c r="B4695" t="str">
        <f>"ORNAMENT-ROAD"</f>
        <v>ORNAMENT-ROAD</v>
      </c>
      <c r="C4695">
        <v>7</v>
      </c>
      <c r="D4695">
        <v>549.98399999999992</v>
      </c>
    </row>
    <row r="4696" spans="1:4">
      <c r="A4696" t="str">
        <f>"40361-95F0A"</f>
        <v>40361-95F0A</v>
      </c>
      <c r="B4696" t="str">
        <f>"Колпак колеса декора"</f>
        <v>Колпак колеса декора</v>
      </c>
      <c r="C4696">
        <v>2</v>
      </c>
      <c r="D4696">
        <v>1501.44</v>
      </c>
    </row>
    <row r="4697" spans="1:4">
      <c r="A4697" t="str">
        <f>"40533-01J00"</f>
        <v>40533-01J00</v>
      </c>
      <c r="B4697" t="str">
        <f>"SEAL-OIL INNER"</f>
        <v>SEAL-OIL INNER</v>
      </c>
      <c r="C4697">
        <v>52</v>
      </c>
      <c r="D4697">
        <v>417.79200000000003</v>
      </c>
    </row>
    <row r="4698" spans="1:4">
      <c r="A4698" t="str">
        <f>"40571-01J00"</f>
        <v>40571-01J00</v>
      </c>
      <c r="B4698" t="str">
        <f>"SHIM"</f>
        <v>SHIM</v>
      </c>
      <c r="C4698">
        <v>55</v>
      </c>
      <c r="D4698">
        <v>140.35199999999998</v>
      </c>
    </row>
    <row r="4699" spans="1:4">
      <c r="A4699" t="str">
        <f>"40578-01J00"</f>
        <v>40578-01J00</v>
      </c>
      <c r="B4699" t="str">
        <f>"GUARD-SEAL"</f>
        <v>GUARD-SEAL</v>
      </c>
      <c r="C4699">
        <v>17</v>
      </c>
      <c r="D4699">
        <v>142.392</v>
      </c>
    </row>
    <row r="4700" spans="1:4">
      <c r="A4700" t="str">
        <f>"40578-VB00A"</f>
        <v>40578-VB00A</v>
      </c>
      <c r="B4700" t="str">
        <f>"Стопорная пластина п"</f>
        <v>Стопорная пластина п</v>
      </c>
      <c r="C4700">
        <v>23</v>
      </c>
      <c r="D4700">
        <v>146.88</v>
      </c>
    </row>
    <row r="4701" spans="1:4">
      <c r="A4701" t="str">
        <f>"40578-VB00B"</f>
        <v>40578-VB00B</v>
      </c>
      <c r="B4701" t="str">
        <f>"Стопорная пластина п"</f>
        <v>Стопорная пластина п</v>
      </c>
      <c r="C4701">
        <v>29</v>
      </c>
      <c r="D4701">
        <v>148.91999999999999</v>
      </c>
    </row>
    <row r="4702" spans="1:4">
      <c r="A4702" t="str">
        <f>"40578-VB01A"</f>
        <v>40578-VB01A</v>
      </c>
      <c r="B4702" t="str">
        <f>"Стопорная пластина п"</f>
        <v>Стопорная пластина п</v>
      </c>
      <c r="C4702">
        <v>26</v>
      </c>
      <c r="D4702">
        <v>148.91999999999999</v>
      </c>
    </row>
    <row r="4703" spans="1:4">
      <c r="A4703" t="str">
        <f>"40578-VB01B"</f>
        <v>40578-VB01B</v>
      </c>
      <c r="B4703" t="str">
        <f>"Стопорная пластина п"</f>
        <v>Стопорная пластина п</v>
      </c>
      <c r="C4703">
        <v>4</v>
      </c>
      <c r="D4703">
        <v>152.59199999999998</v>
      </c>
    </row>
    <row r="4704" spans="1:4">
      <c r="A4704" t="str">
        <f>"40579-01J00"</f>
        <v>40579-01J00</v>
      </c>
      <c r="B4704" t="str">
        <f>"SEAL-GREASE"</f>
        <v>SEAL-GREASE</v>
      </c>
      <c r="C4704">
        <v>7</v>
      </c>
      <c r="D4704">
        <v>541.00799999999992</v>
      </c>
    </row>
    <row r="4705" spans="1:4">
      <c r="A4705" t="str">
        <f>"40579-2F000"</f>
        <v>40579-2F000</v>
      </c>
      <c r="B4705" t="str">
        <f>"SEAL-GREASE,KNU"</f>
        <v>SEAL-GREASE,KNU</v>
      </c>
      <c r="C4705">
        <v>6</v>
      </c>
      <c r="D4705">
        <v>204.40799999999999</v>
      </c>
    </row>
    <row r="4706" spans="1:4">
      <c r="A4706" t="str">
        <f>"40579-AV600"</f>
        <v>40579-AV600</v>
      </c>
      <c r="B4706" t="str">
        <f>"SEAL-GREASE,KNU"</f>
        <v>SEAL-GREASE,KNU</v>
      </c>
      <c r="C4706">
        <v>0</v>
      </c>
      <c r="D4706">
        <v>201.55199999999999</v>
      </c>
    </row>
    <row r="4707" spans="1:4">
      <c r="A4707" t="str">
        <f>"40579-VB000"</f>
        <v>40579-VB000</v>
      </c>
      <c r="B4707" t="str">
        <f>"SEAL-GREASE"</f>
        <v>SEAL-GREASE</v>
      </c>
      <c r="C4707">
        <v>36</v>
      </c>
      <c r="D4707">
        <v>568.75199999999995</v>
      </c>
    </row>
    <row r="4708" spans="1:4">
      <c r="A4708" t="str">
        <f>"40588-0F000"</f>
        <v>40588-0F000</v>
      </c>
      <c r="B4708" t="str">
        <f>"COMP BRG NEEDLE"</f>
        <v>COMP BRG NEEDLE</v>
      </c>
      <c r="C4708">
        <v>15</v>
      </c>
      <c r="D4708">
        <v>729.096</v>
      </c>
    </row>
    <row r="4709" spans="1:4">
      <c r="A4709" t="str">
        <f>"40588-50W00"</f>
        <v>40588-50W00</v>
      </c>
      <c r="B4709" t="str">
        <f>"COMP BRG NEEDLE"</f>
        <v>COMP BRG NEEDLE</v>
      </c>
      <c r="C4709">
        <v>0</v>
      </c>
      <c r="D4709">
        <v>321.50400000000002</v>
      </c>
    </row>
    <row r="4710" spans="1:4">
      <c r="A4710" t="str">
        <f>"40588-88G00"</f>
        <v>40588-88G00</v>
      </c>
      <c r="B4710" t="str">
        <f>"COMP BRG NEEDLE"</f>
        <v>COMP BRG NEEDLE</v>
      </c>
      <c r="C4710">
        <v>25</v>
      </c>
      <c r="D4710">
        <v>322.32</v>
      </c>
    </row>
    <row r="4711" spans="1:4">
      <c r="A4711" t="str">
        <f>"40588-C6000"</f>
        <v>40588-C6000</v>
      </c>
      <c r="B4711" t="str">
        <f>"COMP BRG NEEDLE"</f>
        <v>COMP BRG NEEDLE</v>
      </c>
      <c r="C4711">
        <v>24</v>
      </c>
      <c r="D4711">
        <v>853.94399999999996</v>
      </c>
    </row>
    <row r="4712" spans="1:4">
      <c r="A4712" t="str">
        <f>"40589-C6000"</f>
        <v>40589-C6000</v>
      </c>
      <c r="B4712" t="str">
        <f>"WASHER-THRUST D"</f>
        <v>WASHER-THRUST D</v>
      </c>
      <c r="C4712">
        <v>9</v>
      </c>
      <c r="D4712">
        <v>226.43999999999997</v>
      </c>
    </row>
    <row r="4713" spans="1:4">
      <c r="A4713" t="str">
        <f>"40603-44000"</f>
        <v>40603-44000</v>
      </c>
      <c r="B4713" t="str">
        <f>"SHIM"</f>
        <v>SHIM</v>
      </c>
      <c r="C4713">
        <v>1</v>
      </c>
      <c r="D4713">
        <v>49.368000000000002</v>
      </c>
    </row>
    <row r="4714" spans="1:4">
      <c r="A4714" t="str">
        <f>"40604-44000"</f>
        <v>40604-44000</v>
      </c>
      <c r="B4714" t="str">
        <f>"SHIM"</f>
        <v>SHIM</v>
      </c>
      <c r="C4714">
        <v>36</v>
      </c>
      <c r="D4714">
        <v>41.616</v>
      </c>
    </row>
    <row r="4715" spans="1:4">
      <c r="A4715" t="str">
        <f>"40605-44000"</f>
        <v>40605-44000</v>
      </c>
      <c r="B4715" t="str">
        <f>"SHIM"</f>
        <v>SHIM</v>
      </c>
      <c r="C4715">
        <v>6</v>
      </c>
      <c r="D4715">
        <v>35.495999999999995</v>
      </c>
    </row>
    <row r="4716" spans="1:4">
      <c r="A4716" t="str">
        <f>"40606-44000"</f>
        <v>40606-44000</v>
      </c>
      <c r="B4716" t="str">
        <f>"SHIM"</f>
        <v>SHIM</v>
      </c>
      <c r="C4716">
        <v>12</v>
      </c>
      <c r="D4716">
        <v>42.84</v>
      </c>
    </row>
    <row r="4717" spans="1:4">
      <c r="A4717" t="str">
        <f>"40610-VB90A"</f>
        <v>40610-VB90A</v>
      </c>
      <c r="B4717" t="str">
        <f>"Мост передний"</f>
        <v>Мост передний</v>
      </c>
      <c r="C4717">
        <v>1</v>
      </c>
      <c r="D4717">
        <v>41913.432000000001</v>
      </c>
    </row>
    <row r="4718" spans="1:4">
      <c r="A4718" t="str">
        <f>"40700-1LL0C"</f>
        <v>40700-1LL0C</v>
      </c>
      <c r="B4718" t="str">
        <f>"Датчик давления в ко"</f>
        <v>Датчик давления в ко</v>
      </c>
      <c r="C4718">
        <v>69</v>
      </c>
      <c r="D4718">
        <v>3315.8159999999998</v>
      </c>
    </row>
    <row r="4719" spans="1:4">
      <c r="A4719" t="str">
        <f>"40700-AV600"</f>
        <v>40700-AV600</v>
      </c>
      <c r="B4719" t="str">
        <f>"SENSOR UNIT-TIR"</f>
        <v>SENSOR UNIT-TIR</v>
      </c>
      <c r="C4719">
        <v>3</v>
      </c>
      <c r="D4719">
        <v>4380.6959999999999</v>
      </c>
    </row>
    <row r="4720" spans="1:4">
      <c r="A4720" t="str">
        <f>"40700-CD001"</f>
        <v>40700-CD001</v>
      </c>
      <c r="B4720" t="str">
        <f>"Датчик давления в ко"</f>
        <v>Датчик давления в ко</v>
      </c>
      <c r="C4720">
        <v>55</v>
      </c>
      <c r="D4720">
        <v>3666.6959999999999</v>
      </c>
    </row>
    <row r="4721" spans="1:4">
      <c r="A4721" t="str">
        <f>"40700-CK001"</f>
        <v>40700-CK001</v>
      </c>
      <c r="B4721" t="str">
        <f>"Датчик давления коле"</f>
        <v>Датчик давления коле</v>
      </c>
      <c r="C4721">
        <v>2</v>
      </c>
      <c r="D4721">
        <v>2569.9919999999997</v>
      </c>
    </row>
    <row r="4722" spans="1:4">
      <c r="A4722" t="str">
        <f>"40700-CK002"</f>
        <v>40700-CK002</v>
      </c>
      <c r="B4722" t="str">
        <f>"Датчик давления в ко"</f>
        <v>Датчик давления в ко</v>
      </c>
      <c r="C4722">
        <v>19</v>
      </c>
      <c r="D4722">
        <v>2515.7280000000001</v>
      </c>
    </row>
    <row r="4723" spans="1:4">
      <c r="A4723" t="str">
        <f>"40700-JY00C"</f>
        <v>40700-JY00C</v>
      </c>
      <c r="B4723" t="str">
        <f>"Датчик давления в ко"</f>
        <v>Датчик давления в ко</v>
      </c>
      <c r="C4723">
        <v>42</v>
      </c>
      <c r="D4723">
        <v>3505.1280000000002</v>
      </c>
    </row>
    <row r="4724" spans="1:4">
      <c r="A4724" t="str">
        <f>"40740-JY00A"</f>
        <v>40740-JY00A</v>
      </c>
      <c r="B4724" t="str">
        <f>"Антенна датчика давл"</f>
        <v>Антенна датчика давл</v>
      </c>
      <c r="C4724">
        <v>7</v>
      </c>
      <c r="D4724">
        <v>1927.3920000000001</v>
      </c>
    </row>
    <row r="4725" spans="1:4">
      <c r="A4725" t="str">
        <f>"40780-AR300"</f>
        <v>40780-AR300</v>
      </c>
      <c r="B4725" t="str">
        <f>"Гайка датчика давлен"</f>
        <v>Гайка датчика давлен</v>
      </c>
      <c r="C4725">
        <v>7</v>
      </c>
      <c r="D4725">
        <v>186.45599999999999</v>
      </c>
    </row>
    <row r="4726" spans="1:4">
      <c r="A4726" t="str">
        <f>"40780-JA01B"</f>
        <v>40780-JA01B</v>
      </c>
      <c r="B4726" t="str">
        <f>"Гайка"</f>
        <v>Гайка</v>
      </c>
      <c r="C4726">
        <v>69</v>
      </c>
      <c r="D4726">
        <v>42.84</v>
      </c>
    </row>
    <row r="4727" spans="1:4">
      <c r="A4727" t="str">
        <f>"41001-8H30A"</f>
        <v>41001-8H30A</v>
      </c>
      <c r="B4727" t="str">
        <f>"Суппорт тормозной пе"</f>
        <v>Суппорт тормозной пе</v>
      </c>
      <c r="C4727">
        <v>2</v>
      </c>
      <c r="D4727">
        <v>15605.183999999999</v>
      </c>
    </row>
    <row r="4728" spans="1:4">
      <c r="A4728" t="str">
        <f>"41001-95F0A"</f>
        <v>41001-95F0A</v>
      </c>
      <c r="B4728" t="str">
        <f>"Суппорт тормозной пе"</f>
        <v>Суппорт тормозной пе</v>
      </c>
      <c r="C4728">
        <v>1</v>
      </c>
      <c r="D4728">
        <v>13692.071999999998</v>
      </c>
    </row>
    <row r="4729" spans="1:4">
      <c r="A4729" t="str">
        <f>"41001-AX60A"</f>
        <v>41001-AX60A</v>
      </c>
      <c r="B4729" t="str">
        <f>"СУППОРТ"</f>
        <v>СУППОРТ</v>
      </c>
      <c r="C4729">
        <v>0</v>
      </c>
      <c r="D4729">
        <v>9710.4</v>
      </c>
    </row>
    <row r="4730" spans="1:4">
      <c r="A4730" t="str">
        <f>"41001-JL02A"</f>
        <v>41001-JL02A</v>
      </c>
      <c r="B4730" t="str">
        <f>"Суппорт тормозной пе"</f>
        <v>Суппорт тормозной пе</v>
      </c>
      <c r="C4730">
        <v>2</v>
      </c>
      <c r="D4730">
        <v>16818.575999999997</v>
      </c>
    </row>
    <row r="4731" spans="1:4">
      <c r="A4731" t="str">
        <f>"41001-JN00A"</f>
        <v>41001-JN00A</v>
      </c>
      <c r="B4731" t="str">
        <f>"Суппорт тормозно"</f>
        <v>Суппорт тормозно</v>
      </c>
      <c r="C4731">
        <v>1</v>
      </c>
      <c r="D4731">
        <v>13747.151999999998</v>
      </c>
    </row>
    <row r="4732" spans="1:4">
      <c r="A4732" t="str">
        <f>"41001-ZS60A"</f>
        <v>41001-ZS60A</v>
      </c>
      <c r="B4732" t="str">
        <f>"Суппорт тормозно"</f>
        <v>Суппорт тормозно</v>
      </c>
      <c r="C4732">
        <v>1</v>
      </c>
      <c r="D4732">
        <v>16110.696</v>
      </c>
    </row>
    <row r="4733" spans="1:4">
      <c r="A4733" t="str">
        <f>"41005-AU00A"</f>
        <v>41005-AU00A</v>
      </c>
      <c r="B4733" t="str">
        <f>"Болт поворотного кул"</f>
        <v>Болт поворотного кул</v>
      </c>
      <c r="C4733">
        <v>25</v>
      </c>
      <c r="D4733">
        <v>119.136</v>
      </c>
    </row>
    <row r="4734" spans="1:4">
      <c r="A4734" t="str">
        <f>"41011-8H30A"</f>
        <v>41011-8H30A</v>
      </c>
      <c r="B4734" t="str">
        <f>"Суппорт тормозной пе"</f>
        <v>Суппорт тормозной пе</v>
      </c>
      <c r="C4734">
        <v>4</v>
      </c>
      <c r="D4734">
        <v>15689.232</v>
      </c>
    </row>
    <row r="4735" spans="1:4">
      <c r="A4735" t="str">
        <f>"41011-95F0A"</f>
        <v>41011-95F0A</v>
      </c>
      <c r="B4735" t="str">
        <f>"Суппорт тормозно"</f>
        <v>Суппорт тормозно</v>
      </c>
      <c r="C4735">
        <v>1</v>
      </c>
      <c r="D4735">
        <v>12269.784</v>
      </c>
    </row>
    <row r="4736" spans="1:4">
      <c r="A4736" t="str">
        <f>"41011-AX60A"</f>
        <v>41011-AX60A</v>
      </c>
      <c r="B4736" t="str">
        <f>"CALIPER ASSY-FR"</f>
        <v>CALIPER ASSY-FR</v>
      </c>
      <c r="C4736">
        <v>0</v>
      </c>
      <c r="D4736">
        <v>9868.7039999999997</v>
      </c>
    </row>
    <row r="4737" spans="1:4">
      <c r="A4737" t="str">
        <f>"41011-JL02A"</f>
        <v>41011-JL02A</v>
      </c>
      <c r="B4737" t="str">
        <f>"Суппорт тормозно"</f>
        <v>Суппорт тормозно</v>
      </c>
      <c r="C4737">
        <v>1</v>
      </c>
      <c r="D4737">
        <v>16818.575999999997</v>
      </c>
    </row>
    <row r="4738" spans="1:4">
      <c r="A4738" t="str">
        <f>"41011-JN00A"</f>
        <v>41011-JN00A</v>
      </c>
      <c r="B4738" t="str">
        <f>"Суппорт тормозно"</f>
        <v>Суппорт тормозно</v>
      </c>
      <c r="C4738">
        <v>1</v>
      </c>
      <c r="D4738">
        <v>13747.151999999998</v>
      </c>
    </row>
    <row r="4739" spans="1:4">
      <c r="A4739" t="str">
        <f>"41011-ZS60A"</f>
        <v>41011-ZS60A</v>
      </c>
      <c r="B4739" t="str">
        <f>"Суппорт тормозно"</f>
        <v>Суппорт тормозно</v>
      </c>
      <c r="C4739">
        <v>0</v>
      </c>
      <c r="D4739">
        <v>16110.696</v>
      </c>
    </row>
    <row r="4740" spans="1:4">
      <c r="A4740" t="str">
        <f>"41060-0M8XC-01"</f>
        <v>41060-0M8XC-01</v>
      </c>
      <c r="B4740" t="str">
        <f>"Колодки к-т (4 шт.) "</f>
        <v xml:space="preserve">Колодки к-т (4 шт.) </v>
      </c>
      <c r="C4740">
        <v>7</v>
      </c>
      <c r="D4740">
        <v>1762.9680000000001</v>
      </c>
    </row>
    <row r="4741" spans="1:4">
      <c r="A4741" t="str">
        <f>"41060-5W585"</f>
        <v>41060-5W585</v>
      </c>
      <c r="B4741" t="str">
        <f>"PAD KIT-DISC BR"</f>
        <v>PAD KIT-DISC BR</v>
      </c>
      <c r="C4741">
        <v>2</v>
      </c>
      <c r="D4741">
        <v>2581.0080000000003</v>
      </c>
    </row>
    <row r="4742" spans="1:4">
      <c r="A4742" t="str">
        <f>"41060-6F626"</f>
        <v>41060-6F626</v>
      </c>
      <c r="B4742" t="str">
        <f>"PAD KIT-DISC BR"</f>
        <v>PAD KIT-DISC BR</v>
      </c>
      <c r="C4742">
        <v>3</v>
      </c>
      <c r="D4742">
        <v>1744.2</v>
      </c>
    </row>
    <row r="4743" spans="1:4">
      <c r="A4743" t="str">
        <f>"41060-89EX2"</f>
        <v>41060-89EX2</v>
      </c>
      <c r="B4743" t="str">
        <f>"Колодки торм к-т (4 "</f>
        <v xml:space="preserve">Колодки торм к-т (4 </v>
      </c>
      <c r="C4743">
        <v>27</v>
      </c>
      <c r="D4743">
        <v>1933.104</v>
      </c>
    </row>
    <row r="4744" spans="1:4">
      <c r="A4744" t="str">
        <f>"41060-9F525"</f>
        <v>41060-9F525</v>
      </c>
      <c r="B4744" t="str">
        <f>"PAD KIT-DISC BR"</f>
        <v>PAD KIT-DISC BR</v>
      </c>
      <c r="C4744">
        <v>1</v>
      </c>
      <c r="D4744">
        <v>2146.8959999999997</v>
      </c>
    </row>
    <row r="4745" spans="1:4">
      <c r="A4745" t="str">
        <f>"41060-AA590"</f>
        <v>41060-AA590</v>
      </c>
      <c r="B4745" t="str">
        <f>"Колодки торм к-т (4 "</f>
        <v xml:space="preserve">Колодки торм к-т (4 </v>
      </c>
      <c r="C4745">
        <v>2</v>
      </c>
      <c r="D4745">
        <v>2392.1039999999998</v>
      </c>
    </row>
    <row r="4746" spans="1:4">
      <c r="A4746" t="str">
        <f>"41060-AV126"</f>
        <v>41060-AV126</v>
      </c>
      <c r="B4746" t="str">
        <f>"PAD KIT-DISC BR"</f>
        <v>PAD KIT-DISC BR</v>
      </c>
      <c r="C4746">
        <v>18</v>
      </c>
      <c r="D4746">
        <v>2714.8319999999999</v>
      </c>
    </row>
    <row r="4747" spans="1:4">
      <c r="A4747" t="str">
        <f>"41060-AX085"</f>
        <v>41060-AX085</v>
      </c>
      <c r="B4747" t="str">
        <f>"Колодки тормозные ди"</f>
        <v>Колодки тормозные ди</v>
      </c>
      <c r="C4747">
        <v>13</v>
      </c>
      <c r="D4747">
        <v>2181.1680000000001</v>
      </c>
    </row>
    <row r="4748" spans="1:4">
      <c r="A4748" t="str">
        <f>"41060-AX086"</f>
        <v>41060-AX086</v>
      </c>
      <c r="B4748" t="str">
        <f>"Колодки торм к-т (4 "</f>
        <v xml:space="preserve">Колодки торм к-т (4 </v>
      </c>
      <c r="C4748">
        <v>2</v>
      </c>
      <c r="D4748">
        <v>1744.2</v>
      </c>
    </row>
    <row r="4749" spans="1:4">
      <c r="A4749" t="str">
        <f>"41060-CA093"</f>
        <v>41060-CA093</v>
      </c>
      <c r="B4749" t="str">
        <f>"PAD KIT-DISC BR"</f>
        <v>PAD KIT-DISC BR</v>
      </c>
      <c r="C4749">
        <v>29</v>
      </c>
      <c r="D4749">
        <v>2554.08</v>
      </c>
    </row>
    <row r="4750" spans="1:4">
      <c r="A4750" t="str">
        <f>"41060-VK190"</f>
        <v>41060-VK190</v>
      </c>
      <c r="B4750" t="str">
        <f>"Колодки к-т (4 шт.) "</f>
        <v xml:space="preserve">Колодки к-т (4 шт.) </v>
      </c>
      <c r="C4750">
        <v>1</v>
      </c>
      <c r="D4750">
        <v>2507.5679999999998</v>
      </c>
    </row>
    <row r="4751" spans="1:4">
      <c r="A4751" t="str">
        <f>"41060-ZB590"</f>
        <v>41060-ZB590</v>
      </c>
      <c r="B4751" t="str">
        <f>"Колодки торм к-т (4 "</f>
        <v xml:space="preserve">Колодки торм к-т (4 </v>
      </c>
      <c r="C4751">
        <v>1</v>
      </c>
      <c r="D4751">
        <v>2572.0320000000002</v>
      </c>
    </row>
    <row r="4752" spans="1:4">
      <c r="A4752" t="str">
        <f>"41060-ZC027"</f>
        <v>41060-ZC027</v>
      </c>
      <c r="B4752" t="str">
        <f>"Колодки торм к-т (4 "</f>
        <v xml:space="preserve">Колодки торм к-т (4 </v>
      </c>
      <c r="C4752">
        <v>2</v>
      </c>
      <c r="D4752">
        <v>3710.3519999999999</v>
      </c>
    </row>
    <row r="4753" spans="1:4">
      <c r="A4753" t="str">
        <f>"4106M-0E5XA-01"</f>
        <v>4106M-0E5XA-01</v>
      </c>
      <c r="B4753" t="str">
        <f>"Колодки торм к-т (4 "</f>
        <v xml:space="preserve">Колодки торм к-т (4 </v>
      </c>
      <c r="C4753">
        <v>3</v>
      </c>
      <c r="D4753">
        <v>2086.5119999999997</v>
      </c>
    </row>
    <row r="4754" spans="1:4">
      <c r="A4754" t="str">
        <f>"41080-09G28"</f>
        <v>41080-09G28</v>
      </c>
      <c r="B4754" t="str">
        <f>"HARDWARE KIT-FR"</f>
        <v>HARDWARE KIT-FR</v>
      </c>
      <c r="C4754">
        <v>4</v>
      </c>
      <c r="D4754">
        <v>2179.5360000000001</v>
      </c>
    </row>
    <row r="4755" spans="1:4">
      <c r="A4755" t="str">
        <f>"41080-0V726"</f>
        <v>41080-0V726</v>
      </c>
      <c r="B4755" t="str">
        <f>"Пластины тормозных к"</f>
        <v>Пластины тормозных к</v>
      </c>
      <c r="C4755">
        <v>14</v>
      </c>
      <c r="D4755">
        <v>2105.6880000000001</v>
      </c>
    </row>
    <row r="4756" spans="1:4">
      <c r="A4756" t="str">
        <f>"41080-1N026"</f>
        <v>41080-1N026</v>
      </c>
      <c r="B4756" t="str">
        <f>"HARDWARE KIT-FR"</f>
        <v>HARDWARE KIT-FR</v>
      </c>
      <c r="C4756">
        <v>1</v>
      </c>
      <c r="D4756">
        <v>1129.752</v>
      </c>
    </row>
    <row r="4757" spans="1:4">
      <c r="A4757" t="str">
        <f>"41080-38U26"</f>
        <v>41080-38U26</v>
      </c>
      <c r="B4757" t="str">
        <f>"HARDWARE KIT-FR"</f>
        <v>HARDWARE KIT-FR</v>
      </c>
      <c r="C4757">
        <v>2</v>
      </c>
      <c r="D4757">
        <v>1820.4959999999999</v>
      </c>
    </row>
    <row r="4758" spans="1:4">
      <c r="A4758" t="str">
        <f>"41080-3W425"</f>
        <v>41080-3W425</v>
      </c>
      <c r="B4758" t="str">
        <f>"Пластины тормозных к"</f>
        <v>Пластины тормозных к</v>
      </c>
      <c r="C4758">
        <v>5</v>
      </c>
      <c r="D4758">
        <v>2046.528</v>
      </c>
    </row>
    <row r="4759" spans="1:4">
      <c r="A4759" t="str">
        <f>"41080-40F28"</f>
        <v>41080-40F28</v>
      </c>
      <c r="B4759" t="str">
        <f>"HARDWARE KIT-FR"</f>
        <v>HARDWARE KIT-FR</v>
      </c>
      <c r="C4759">
        <v>3</v>
      </c>
      <c r="D4759">
        <v>1672.8</v>
      </c>
    </row>
    <row r="4760" spans="1:4">
      <c r="A4760" t="str">
        <f>"41080-40F85"</f>
        <v>41080-40F85</v>
      </c>
      <c r="B4760" t="str">
        <f>"HARDWARE KIT-FR"</f>
        <v>HARDWARE KIT-FR</v>
      </c>
      <c r="C4760">
        <v>0</v>
      </c>
      <c r="D4760">
        <v>1008.1679999999999</v>
      </c>
    </row>
    <row r="4761" spans="1:4">
      <c r="A4761" t="str">
        <f>"41080-6M026"</f>
        <v>41080-6M026</v>
      </c>
      <c r="B4761" t="str">
        <f>"HARDWARE KIT-FR"</f>
        <v>HARDWARE KIT-FR</v>
      </c>
      <c r="C4761">
        <v>1</v>
      </c>
      <c r="D4761">
        <v>1796.424</v>
      </c>
    </row>
    <row r="4762" spans="1:4">
      <c r="A4762" t="str">
        <f>"41080-70J25"</f>
        <v>41080-70J25</v>
      </c>
      <c r="B4762" t="str">
        <f>"HARDWARE KIT-FR"</f>
        <v>HARDWARE KIT-FR</v>
      </c>
      <c r="C4762">
        <v>0</v>
      </c>
      <c r="D4762">
        <v>741.74400000000003</v>
      </c>
    </row>
    <row r="4763" spans="1:4">
      <c r="A4763" t="str">
        <f>"41080-8H385"</f>
        <v>41080-8H385</v>
      </c>
      <c r="B4763" t="str">
        <f>"HARDWARE KIT-FR"</f>
        <v>HARDWARE KIT-FR</v>
      </c>
      <c r="C4763">
        <v>13</v>
      </c>
      <c r="D4763">
        <v>2124.4560000000001</v>
      </c>
    </row>
    <row r="4764" spans="1:4">
      <c r="A4764" t="str">
        <f>"41080-95F0A"</f>
        <v>41080-95F0A</v>
      </c>
      <c r="B4764" t="str">
        <f>"Пластины тормозных к"</f>
        <v>Пластины тормозных к</v>
      </c>
      <c r="C4764">
        <v>1</v>
      </c>
      <c r="D4764">
        <v>734.4</v>
      </c>
    </row>
    <row r="4765" spans="1:4">
      <c r="A4765" t="str">
        <f>"41080-AC290"</f>
        <v>41080-AC290</v>
      </c>
      <c r="B4765" t="str">
        <f>"Пластины тормозных к"</f>
        <v>Пластины тормозных к</v>
      </c>
      <c r="C4765">
        <v>2</v>
      </c>
      <c r="D4765">
        <v>1714.0079999999998</v>
      </c>
    </row>
    <row r="4766" spans="1:4">
      <c r="A4766" t="str">
        <f>"41080-AG026"</f>
        <v>41080-AG026</v>
      </c>
      <c r="B4766" t="str">
        <f>"HARDWARE KIT-FR"</f>
        <v>HARDWARE KIT-FR</v>
      </c>
      <c r="C4766">
        <v>9</v>
      </c>
      <c r="D4766">
        <v>1608.7439999999999</v>
      </c>
    </row>
    <row r="4767" spans="1:4">
      <c r="A4767" t="str">
        <f>"41080-AM890"</f>
        <v>41080-AM890</v>
      </c>
      <c r="B4767" t="str">
        <f>"Пластины тормозных к"</f>
        <v>Пластины тормозных к</v>
      </c>
      <c r="C4767">
        <v>15</v>
      </c>
      <c r="D4767">
        <v>2137.1039999999998</v>
      </c>
    </row>
    <row r="4768" spans="1:4">
      <c r="A4768" t="str">
        <f>"41080-AR026"</f>
        <v>41080-AR026</v>
      </c>
      <c r="B4768" t="str">
        <f>"Пластины колодок"</f>
        <v>Пластины колодок</v>
      </c>
      <c r="C4768">
        <v>1</v>
      </c>
      <c r="D4768">
        <v>2193.8159999999998</v>
      </c>
    </row>
    <row r="4769" spans="1:4">
      <c r="A4769" t="str">
        <f>"41080-C7126"</f>
        <v>41080-C7126</v>
      </c>
      <c r="B4769" t="str">
        <f>"HARDWARE KIT-FR"</f>
        <v>HARDWARE KIT-FR</v>
      </c>
      <c r="C4769">
        <v>5</v>
      </c>
      <c r="D4769">
        <v>1789.0800000000002</v>
      </c>
    </row>
    <row r="4770" spans="1:4">
      <c r="A4770" t="str">
        <f>"41080-CA00J"</f>
        <v>41080-CA00J</v>
      </c>
      <c r="B4770" t="str">
        <f>"Пластины тормозных к"</f>
        <v>Пластины тормозных к</v>
      </c>
      <c r="C4770">
        <v>2</v>
      </c>
      <c r="D4770">
        <v>1722.1680000000001</v>
      </c>
    </row>
    <row r="4771" spans="1:4">
      <c r="A4771" t="str">
        <f>"41080-CL70J"</f>
        <v>41080-CL70J</v>
      </c>
      <c r="B4771" t="str">
        <f>"Пластины тормозных к"</f>
        <v>Пластины тормозных к</v>
      </c>
      <c r="C4771">
        <v>7</v>
      </c>
      <c r="D4771">
        <v>1693.6079999999999</v>
      </c>
    </row>
    <row r="4772" spans="1:4">
      <c r="A4772" t="str">
        <f>"41080-EB325"</f>
        <v>41080-EB325</v>
      </c>
      <c r="B4772" t="str">
        <f>"Пластины тормозных к"</f>
        <v>Пластины тормозных к</v>
      </c>
      <c r="C4772">
        <v>21</v>
      </c>
      <c r="D4772">
        <v>2137.9199999999996</v>
      </c>
    </row>
    <row r="4773" spans="1:4">
      <c r="A4773" t="str">
        <f>"41080-VB226"</f>
        <v>41080-VB226</v>
      </c>
      <c r="B4773" t="str">
        <f>"HARDWARE KIT-FR"</f>
        <v>HARDWARE KIT-FR</v>
      </c>
      <c r="C4773">
        <v>3</v>
      </c>
      <c r="D4773">
        <v>2194.2239999999997</v>
      </c>
    </row>
    <row r="4774" spans="1:4">
      <c r="A4774" t="str">
        <f>"41081-J5110"</f>
        <v>41081-J5110</v>
      </c>
      <c r="B4774" t="str">
        <f>"PIN ANTI SHOE R"</f>
        <v>PIN ANTI SHOE R</v>
      </c>
      <c r="C4774">
        <v>7</v>
      </c>
      <c r="D4774">
        <v>31.823999999999998</v>
      </c>
    </row>
    <row r="4775" spans="1:4">
      <c r="A4775" t="str">
        <f>"41081-T326A"</f>
        <v>41081-T326A</v>
      </c>
      <c r="B4775" t="str">
        <f>"Палец направляющий т"</f>
        <v>Палец направляющий т</v>
      </c>
      <c r="C4775">
        <v>53</v>
      </c>
      <c r="D4775">
        <v>38.351999999999997</v>
      </c>
    </row>
    <row r="4776" spans="1:4">
      <c r="A4776" t="str">
        <f>"41083-AX626"</f>
        <v>41083-AX626</v>
      </c>
      <c r="B4776" t="str">
        <f>"Пластины тормозных к"</f>
        <v>Пластины тормозных к</v>
      </c>
      <c r="C4776">
        <v>0</v>
      </c>
      <c r="D4776">
        <v>356.59200000000004</v>
      </c>
    </row>
    <row r="4777" spans="1:4">
      <c r="A4777" t="str">
        <f>"41084-3J426"</f>
        <v>41084-3J426</v>
      </c>
      <c r="B4777" t="str">
        <f>"HARDWARE KIT-FR"</f>
        <v>HARDWARE KIT-FR</v>
      </c>
      <c r="C4777">
        <v>16</v>
      </c>
      <c r="D4777">
        <v>374.95199999999994</v>
      </c>
    </row>
    <row r="4778" spans="1:4">
      <c r="A4778" t="str">
        <f>"41084-4U125"</f>
        <v>41084-4U125</v>
      </c>
      <c r="B4778" t="str">
        <f>"HARDWARE KIT-FR"</f>
        <v>HARDWARE KIT-FR</v>
      </c>
      <c r="C4778">
        <v>4</v>
      </c>
      <c r="D4778">
        <v>1153.4159999999999</v>
      </c>
    </row>
    <row r="4779" spans="1:4">
      <c r="A4779" t="str">
        <f>"41084-71J26"</f>
        <v>41084-71J26</v>
      </c>
      <c r="B4779" t="str">
        <f>"HARDWARE KIT-FR"</f>
        <v>HARDWARE KIT-FR</v>
      </c>
      <c r="C4779">
        <v>27</v>
      </c>
      <c r="D4779">
        <v>420.23999999999995</v>
      </c>
    </row>
    <row r="4780" spans="1:4">
      <c r="A4780" t="str">
        <f>"41084-VS40A"</f>
        <v>41084-VS40A</v>
      </c>
      <c r="B4780" t="str">
        <f>"Стопорная шайба торм"</f>
        <v>Стопорная шайба торм</v>
      </c>
      <c r="C4780">
        <v>7</v>
      </c>
      <c r="D4780">
        <v>82.416000000000011</v>
      </c>
    </row>
    <row r="4781" spans="1:4">
      <c r="A4781" t="str">
        <f>"41120-0V725"</f>
        <v>41120-0V725</v>
      </c>
      <c r="B4781" t="str">
        <f>"К-т сальников (12шт)"</f>
        <v>К-т сальников (12шт)</v>
      </c>
      <c r="C4781">
        <v>47</v>
      </c>
      <c r="D4781">
        <v>1560.192</v>
      </c>
    </row>
    <row r="4782" spans="1:4">
      <c r="A4782" t="str">
        <f>"41120-2N325"</f>
        <v>41120-2N325</v>
      </c>
      <c r="B4782" t="str">
        <f>"SEAL KIT-DISC"</f>
        <v>SEAL KIT-DISC</v>
      </c>
      <c r="C4782">
        <v>1</v>
      </c>
      <c r="D4782">
        <v>1232.568</v>
      </c>
    </row>
    <row r="4783" spans="1:4">
      <c r="A4783" t="str">
        <f>"41120-2Y028"</f>
        <v>41120-2Y028</v>
      </c>
      <c r="B4783" t="str">
        <f>"Сальники к-т"</f>
        <v>Сальники к-т</v>
      </c>
      <c r="C4783">
        <v>0</v>
      </c>
      <c r="D4783">
        <v>1498.992</v>
      </c>
    </row>
    <row r="4784" spans="1:4">
      <c r="A4784" t="str">
        <f>"41120-38U25"</f>
        <v>41120-38U25</v>
      </c>
      <c r="B4784" t="str">
        <f>"SEAL KIT-DISC"</f>
        <v>SEAL KIT-DISC</v>
      </c>
      <c r="C4784">
        <v>2</v>
      </c>
      <c r="D4784">
        <v>1219.92</v>
      </c>
    </row>
    <row r="4785" spans="1:4">
      <c r="A4785" t="str">
        <f>"41120-4M425"</f>
        <v>41120-4M425</v>
      </c>
      <c r="B4785" t="str">
        <f>"SEAL KIT-DISC"</f>
        <v>SEAL KIT-DISC</v>
      </c>
      <c r="C4785">
        <v>8</v>
      </c>
      <c r="D4785">
        <v>1527.9599999999998</v>
      </c>
    </row>
    <row r="4786" spans="1:4">
      <c r="A4786" t="str">
        <f>"41120-4N026"</f>
        <v>41120-4N026</v>
      </c>
      <c r="B4786" t="str">
        <f>"К-т сальников (16шт)"</f>
        <v>К-т сальников (16шт)</v>
      </c>
      <c r="C4786">
        <v>10</v>
      </c>
      <c r="D4786">
        <v>1311.3119999999999</v>
      </c>
    </row>
    <row r="4787" spans="1:4">
      <c r="A4787" t="str">
        <f>"41120-71J25"</f>
        <v>41120-71J25</v>
      </c>
      <c r="B4787" t="str">
        <f>"SEAL KIT-DISC B"</f>
        <v>SEAL KIT-DISC B</v>
      </c>
      <c r="C4787">
        <v>34</v>
      </c>
      <c r="D4787">
        <v>700.94399999999996</v>
      </c>
    </row>
    <row r="4788" spans="1:4">
      <c r="A4788" t="str">
        <f>"41120-76A25"</f>
        <v>41120-76A25</v>
      </c>
      <c r="B4788" t="str">
        <f>"SEAL KIT-DISC B"</f>
        <v>SEAL KIT-DISC B</v>
      </c>
      <c r="C4788">
        <v>0</v>
      </c>
      <c r="D4788">
        <v>1618.1279999999999</v>
      </c>
    </row>
    <row r="4789" spans="1:4">
      <c r="A4789" t="str">
        <f>"41120-7S025"</f>
        <v>41120-7S025</v>
      </c>
      <c r="B4789" t="str">
        <f>"SEAL KIT-DISC B"</f>
        <v>SEAL KIT-DISC B</v>
      </c>
      <c r="C4789">
        <v>16</v>
      </c>
      <c r="D4789">
        <v>1144.848</v>
      </c>
    </row>
    <row r="4790" spans="1:4">
      <c r="A4790" t="str">
        <f>"41120-95F0A"</f>
        <v>41120-95F0A</v>
      </c>
      <c r="B4790" t="str">
        <f>"К-т сальников (4"</f>
        <v>К-т сальников (4</v>
      </c>
      <c r="C4790">
        <v>14</v>
      </c>
      <c r="D4790">
        <v>1510.8239999999998</v>
      </c>
    </row>
    <row r="4791" spans="1:4">
      <c r="A4791" t="str">
        <f>"41120-AG025"</f>
        <v>41120-AG025</v>
      </c>
      <c r="B4791" t="str">
        <f t="shared" ref="B4791:B4796" si="91">"SEAL KIT-DISC"</f>
        <v>SEAL KIT-DISC</v>
      </c>
      <c r="C4791">
        <v>19</v>
      </c>
      <c r="D4791">
        <v>1525.5119999999999</v>
      </c>
    </row>
    <row r="4792" spans="1:4">
      <c r="A4792" t="str">
        <f>"41120-AL525"</f>
        <v>41120-AL525</v>
      </c>
      <c r="B4792" t="str">
        <f t="shared" si="91"/>
        <v>SEAL KIT-DISC</v>
      </c>
      <c r="C4792">
        <v>11</v>
      </c>
      <c r="D4792">
        <v>1363.1279999999999</v>
      </c>
    </row>
    <row r="4793" spans="1:4">
      <c r="A4793" t="str">
        <f>"41120-C7026"</f>
        <v>41120-C7026</v>
      </c>
      <c r="B4793" t="str">
        <f t="shared" si="91"/>
        <v>SEAL KIT-DISC</v>
      </c>
      <c r="C4793">
        <v>9</v>
      </c>
      <c r="D4793">
        <v>1419.0239999999999</v>
      </c>
    </row>
    <row r="4794" spans="1:4">
      <c r="A4794" t="str">
        <f>"41120-CA025"</f>
        <v>41120-CA025</v>
      </c>
      <c r="B4794" t="str">
        <f t="shared" si="91"/>
        <v>SEAL KIT-DISC</v>
      </c>
      <c r="C4794">
        <v>11</v>
      </c>
      <c r="D4794">
        <v>1289.6879999999999</v>
      </c>
    </row>
    <row r="4795" spans="1:4">
      <c r="A4795" t="str">
        <f>"41120-VB225"</f>
        <v>41120-VB225</v>
      </c>
      <c r="B4795" t="str">
        <f t="shared" si="91"/>
        <v>SEAL KIT-DISC</v>
      </c>
      <c r="C4795">
        <v>13</v>
      </c>
      <c r="D4795">
        <v>1527.1439999999998</v>
      </c>
    </row>
    <row r="4796" spans="1:4">
      <c r="A4796" t="str">
        <f>"41120-VC225"</f>
        <v>41120-VC225</v>
      </c>
      <c r="B4796" t="str">
        <f t="shared" si="91"/>
        <v>SEAL KIT-DISC</v>
      </c>
      <c r="C4796">
        <v>10</v>
      </c>
      <c r="D4796">
        <v>1523.472</v>
      </c>
    </row>
    <row r="4797" spans="1:4">
      <c r="A4797" t="str">
        <f>"41120-VC226"</f>
        <v>41120-VC226</v>
      </c>
      <c r="B4797" t="str">
        <f>"К-т сальников (16шт)"</f>
        <v>К-т сальников (16шт)</v>
      </c>
      <c r="C4797">
        <v>3</v>
      </c>
      <c r="D4797">
        <v>1558.9680000000001</v>
      </c>
    </row>
    <row r="4798" spans="1:4">
      <c r="A4798" t="str">
        <f>"41120-VK125"</f>
        <v>41120-VK125</v>
      </c>
      <c r="B4798" t="str">
        <f>"К-т сальников (16шт)"</f>
        <v>К-т сальников (16шт)</v>
      </c>
      <c r="C4798">
        <v>23</v>
      </c>
      <c r="D4798">
        <v>1432.0800000000002</v>
      </c>
    </row>
    <row r="4799" spans="1:4">
      <c r="A4799" t="str">
        <f>"41121-01A01"</f>
        <v>41121-01A01</v>
      </c>
      <c r="B4799" t="str">
        <f>"PISTON-CYLINDER"</f>
        <v>PISTON-CYLINDER</v>
      </c>
      <c r="C4799">
        <v>17</v>
      </c>
      <c r="D4799">
        <v>1356.6</v>
      </c>
    </row>
    <row r="4800" spans="1:4">
      <c r="A4800" t="str">
        <f>"41121-05N00"</f>
        <v>41121-05N00</v>
      </c>
      <c r="B4800" t="str">
        <f>"PISTON-CYLINDER"</f>
        <v>PISTON-CYLINDER</v>
      </c>
      <c r="C4800">
        <v>3</v>
      </c>
      <c r="D4800">
        <v>1528.7760000000001</v>
      </c>
    </row>
    <row r="4801" spans="1:4">
      <c r="A4801" t="str">
        <f>"41121-0V700"</f>
        <v>41121-0V700</v>
      </c>
      <c r="B4801" t="str">
        <f>"Поршень тормозного ц"</f>
        <v>Поршень тормозного ц</v>
      </c>
      <c r="C4801">
        <v>9</v>
      </c>
      <c r="D4801">
        <v>1542.24</v>
      </c>
    </row>
    <row r="4802" spans="1:4">
      <c r="A4802" t="str">
        <f>"41121-0W700"</f>
        <v>41121-0W700</v>
      </c>
      <c r="B4802" t="str">
        <f>"PISTON-CYLINDER"</f>
        <v>PISTON-CYLINDER</v>
      </c>
      <c r="C4802">
        <v>20</v>
      </c>
      <c r="D4802">
        <v>1568.76</v>
      </c>
    </row>
    <row r="4803" spans="1:4">
      <c r="A4803" t="str">
        <f>"41121-1E000"</f>
        <v>41121-1E000</v>
      </c>
      <c r="B4803" t="str">
        <f>"PISTON-CYLINDER"</f>
        <v>PISTON-CYLINDER</v>
      </c>
      <c r="C4803">
        <v>0</v>
      </c>
      <c r="D4803">
        <v>1281.9359999999999</v>
      </c>
    </row>
    <row r="4804" spans="1:4">
      <c r="A4804" t="str">
        <f>"41121-40F00"</f>
        <v>41121-40F00</v>
      </c>
      <c r="B4804" t="str">
        <f>"PISTON-CYLINDER"</f>
        <v>PISTON-CYLINDER</v>
      </c>
      <c r="C4804">
        <v>7</v>
      </c>
      <c r="D4804">
        <v>1416.576</v>
      </c>
    </row>
    <row r="4805" spans="1:4">
      <c r="A4805" t="str">
        <f>"41121-71E00"</f>
        <v>41121-71E00</v>
      </c>
      <c r="B4805" t="str">
        <f>"PISTON-CYLINDER"</f>
        <v>PISTON-CYLINDER</v>
      </c>
      <c r="C4805">
        <v>5</v>
      </c>
      <c r="D4805">
        <v>1563.864</v>
      </c>
    </row>
    <row r="4806" spans="1:4">
      <c r="A4806" t="str">
        <f>"41121-71J00"</f>
        <v>41121-71J00</v>
      </c>
      <c r="B4806" t="str">
        <f>"PISTON-CYLINDER"</f>
        <v>PISTON-CYLINDER</v>
      </c>
      <c r="C4806">
        <v>11</v>
      </c>
      <c r="D4806">
        <v>1496.5439999999999</v>
      </c>
    </row>
    <row r="4807" spans="1:4">
      <c r="A4807" t="str">
        <f>"41121-7S000"</f>
        <v>41121-7S000</v>
      </c>
      <c r="B4807" t="str">
        <f>"Поршень торм цилиндр"</f>
        <v>Поршень торм цилиндр</v>
      </c>
      <c r="C4807">
        <v>6</v>
      </c>
      <c r="D4807">
        <v>794.78399999999999</v>
      </c>
    </row>
    <row r="4808" spans="1:4">
      <c r="A4808" t="str">
        <f>"41121-95F0A"</f>
        <v>41121-95F0A</v>
      </c>
      <c r="B4808" t="str">
        <f>"Поршень тормозного ц"</f>
        <v>Поршень тормозного ц</v>
      </c>
      <c r="C4808">
        <v>12</v>
      </c>
      <c r="D4808">
        <v>1327.2239999999999</v>
      </c>
    </row>
    <row r="4809" spans="1:4">
      <c r="A4809" t="str">
        <f>"41121-C7002"</f>
        <v>41121-C7002</v>
      </c>
      <c r="B4809" t="str">
        <f>"PISTON-CYLINDER"</f>
        <v>PISTON-CYLINDER</v>
      </c>
      <c r="C4809">
        <v>8</v>
      </c>
      <c r="D4809">
        <v>2092.2239999999997</v>
      </c>
    </row>
    <row r="4810" spans="1:4">
      <c r="A4810" t="str">
        <f>"41121-JE00A"</f>
        <v>41121-JE00A</v>
      </c>
      <c r="B4810" t="str">
        <f>"Поршень тормозного ц"</f>
        <v>Поршень тормозного ц</v>
      </c>
      <c r="C4810">
        <v>12</v>
      </c>
      <c r="D4810">
        <v>1554.0719999999999</v>
      </c>
    </row>
    <row r="4811" spans="1:4">
      <c r="A4811" t="str">
        <f>"41121-VB200"</f>
        <v>41121-VB200</v>
      </c>
      <c r="B4811" t="str">
        <f>"PISTON-CYLINDER"</f>
        <v>PISTON-CYLINDER</v>
      </c>
      <c r="C4811">
        <v>12</v>
      </c>
      <c r="D4811">
        <v>1398.624</v>
      </c>
    </row>
    <row r="4812" spans="1:4">
      <c r="A4812" t="str">
        <f>"41121-VC200"</f>
        <v>41121-VC200</v>
      </c>
      <c r="B4812" t="str">
        <f>"Поршень тормозного ц"</f>
        <v>Поршень тормозного ц</v>
      </c>
      <c r="C4812">
        <v>1</v>
      </c>
      <c r="D4812">
        <v>1424.328</v>
      </c>
    </row>
    <row r="4813" spans="1:4">
      <c r="A4813" t="str">
        <f>"41121-ZC60A"</f>
        <v>41121-ZC60A</v>
      </c>
      <c r="B4813" t="str">
        <f>"Поршень тормозного ц"</f>
        <v>Поршень тормозного ц</v>
      </c>
      <c r="C4813">
        <v>6</v>
      </c>
      <c r="D4813">
        <v>1117.1039999999998</v>
      </c>
    </row>
    <row r="4814" spans="1:4">
      <c r="A4814" t="str">
        <f>"41124-AX625"</f>
        <v>41124-AX625</v>
      </c>
      <c r="B4814" t="str">
        <f>"SEAL KIT-DISC B"</f>
        <v>SEAL KIT-DISC B</v>
      </c>
      <c r="C4814">
        <v>25</v>
      </c>
      <c r="D4814">
        <v>590.37599999999998</v>
      </c>
    </row>
    <row r="4815" spans="1:4">
      <c r="A4815" t="str">
        <f>"41127-4U125"</f>
        <v>41127-4U125</v>
      </c>
      <c r="B4815" t="str">
        <f>"SEAL KIT-DISC B"</f>
        <v>SEAL KIT-DISC B</v>
      </c>
      <c r="C4815">
        <v>10</v>
      </c>
      <c r="D4815">
        <v>1065.6959999999999</v>
      </c>
    </row>
    <row r="4816" spans="1:4">
      <c r="A4816" t="str">
        <f>"41128-71J0A"</f>
        <v>41128-71J0A</v>
      </c>
      <c r="B4816" t="str">
        <f>"Штуцер тормозного су"</f>
        <v>Штуцер тормозного су</v>
      </c>
      <c r="C4816">
        <v>17</v>
      </c>
      <c r="D4816">
        <v>237.45599999999999</v>
      </c>
    </row>
    <row r="4817" spans="1:4">
      <c r="A4817" t="str">
        <f>"41128-8J100"</f>
        <v>41128-8J100</v>
      </c>
      <c r="B4817" t="str">
        <f>"Болт направляющего п"</f>
        <v>Болт направляющего п</v>
      </c>
      <c r="C4817">
        <v>11</v>
      </c>
      <c r="D4817">
        <v>225.624</v>
      </c>
    </row>
    <row r="4818" spans="1:4">
      <c r="A4818" t="str">
        <f>"41128-AW70A"</f>
        <v>41128-AW70A</v>
      </c>
      <c r="B4818" t="str">
        <f>"Штуцер тормозного ци"</f>
        <v>Штуцер тормозного ци</v>
      </c>
      <c r="C4818">
        <v>0</v>
      </c>
      <c r="D4818">
        <v>219.91199999999998</v>
      </c>
    </row>
    <row r="4819" spans="1:4">
      <c r="A4819" t="str">
        <f>"41130-21C00"</f>
        <v>41130-21C00</v>
      </c>
      <c r="B4819" t="str">
        <f>"SLEV-GUIDE PIN"</f>
        <v>SLEV-GUIDE PIN</v>
      </c>
      <c r="C4819">
        <v>3</v>
      </c>
      <c r="D4819">
        <v>255.40799999999999</v>
      </c>
    </row>
    <row r="4820" spans="1:4">
      <c r="A4820" t="str">
        <f>"41130-21C01"</f>
        <v>41130-21C01</v>
      </c>
      <c r="B4820" t="str">
        <f>"SLEEVE-LOCK PIN"</f>
        <v>SLEEVE-LOCK PIN</v>
      </c>
      <c r="C4820">
        <v>24</v>
      </c>
      <c r="D4820">
        <v>311.71199999999999</v>
      </c>
    </row>
    <row r="4821" spans="1:4">
      <c r="A4821" t="str">
        <f>"41133-8H300"</f>
        <v>41133-8H300</v>
      </c>
      <c r="B4821" t="str">
        <f>"PIN"</f>
        <v>PIN</v>
      </c>
      <c r="C4821">
        <v>46</v>
      </c>
      <c r="D4821">
        <v>312.12</v>
      </c>
    </row>
    <row r="4822" spans="1:4">
      <c r="A4822" t="str">
        <f>"41133-AA000"</f>
        <v>41133-AA000</v>
      </c>
      <c r="B4822" t="str">
        <f>"PIN"</f>
        <v>PIN</v>
      </c>
      <c r="C4822">
        <v>13</v>
      </c>
      <c r="D4822">
        <v>312.52799999999996</v>
      </c>
    </row>
    <row r="4823" spans="1:4">
      <c r="A4823" t="str">
        <f>"41133-JE00A"</f>
        <v>41133-JE00A</v>
      </c>
      <c r="B4823" t="str">
        <f>"Направляющий палец т"</f>
        <v>Направляющий палец т</v>
      </c>
      <c r="C4823">
        <v>11</v>
      </c>
      <c r="D4823">
        <v>467.56799999999998</v>
      </c>
    </row>
    <row r="4824" spans="1:4">
      <c r="A4824" t="str">
        <f>"41134-6T300"</f>
        <v>41134-6T300</v>
      </c>
      <c r="B4824" t="str">
        <f>"PIN"</f>
        <v>PIN</v>
      </c>
      <c r="C4824">
        <v>2</v>
      </c>
      <c r="D4824">
        <v>594.048</v>
      </c>
    </row>
    <row r="4825" spans="1:4">
      <c r="A4825" t="str">
        <f>"41134-AA000"</f>
        <v>41134-AA000</v>
      </c>
      <c r="B4825" t="str">
        <f>"PIN"</f>
        <v>PIN</v>
      </c>
      <c r="C4825">
        <v>13</v>
      </c>
      <c r="D4825">
        <v>310.89599999999996</v>
      </c>
    </row>
    <row r="4826" spans="1:4">
      <c r="A4826" t="str">
        <f>"41134-JE00A"</f>
        <v>41134-JE00A</v>
      </c>
      <c r="B4826" t="str">
        <f>"Направляющий палец т"</f>
        <v>Направляющий палец т</v>
      </c>
      <c r="C4826">
        <v>160</v>
      </c>
      <c r="D4826">
        <v>489.59999999999997</v>
      </c>
    </row>
    <row r="4827" spans="1:4">
      <c r="A4827" t="str">
        <f>"41136-0W700"</f>
        <v>41136-0W700</v>
      </c>
      <c r="B4827" t="str">
        <f>"Болт направляющего п"</f>
        <v>Болт направляющего п</v>
      </c>
      <c r="C4827">
        <v>46</v>
      </c>
      <c r="D4827">
        <v>127.70399999999999</v>
      </c>
    </row>
    <row r="4828" spans="1:4">
      <c r="A4828" t="str">
        <f>"41136-70J00"</f>
        <v>41136-70J00</v>
      </c>
      <c r="B4828" t="str">
        <f>"PIN-BOLT"</f>
        <v>PIN-BOLT</v>
      </c>
      <c r="C4828">
        <v>1</v>
      </c>
      <c r="D4828">
        <v>228.072</v>
      </c>
    </row>
    <row r="4829" spans="1:4">
      <c r="A4829" t="str">
        <f>"41136-71J0A"</f>
        <v>41136-71J0A</v>
      </c>
      <c r="B4829" t="str">
        <f>"Болт направляющего п"</f>
        <v>Болт направляющего п</v>
      </c>
      <c r="C4829">
        <v>16</v>
      </c>
      <c r="D4829">
        <v>81.191999999999993</v>
      </c>
    </row>
    <row r="4830" spans="1:4">
      <c r="A4830" t="str">
        <f>"41136-EJ20A"</f>
        <v>41136-EJ20A</v>
      </c>
      <c r="B4830" t="str">
        <f>"Болт направляющего п"</f>
        <v>Болт направляющего п</v>
      </c>
      <c r="C4830">
        <v>8</v>
      </c>
      <c r="D4830">
        <v>113.01600000000001</v>
      </c>
    </row>
    <row r="4831" spans="1:4">
      <c r="A4831" t="str">
        <f>"41139-01A01"</f>
        <v>41139-01A01</v>
      </c>
      <c r="B4831" t="str">
        <f t="shared" ref="B4831:B4836" si="92">"PIN"</f>
        <v>PIN</v>
      </c>
      <c r="C4831">
        <v>80</v>
      </c>
      <c r="D4831">
        <v>305.59199999999998</v>
      </c>
    </row>
    <row r="4832" spans="1:4">
      <c r="A4832" t="str">
        <f>"41139-21C00"</f>
        <v>41139-21C00</v>
      </c>
      <c r="B4832" t="str">
        <f t="shared" si="92"/>
        <v>PIN</v>
      </c>
      <c r="C4832">
        <v>1</v>
      </c>
      <c r="D4832">
        <v>227.66399999999999</v>
      </c>
    </row>
    <row r="4833" spans="1:4">
      <c r="A4833" t="str">
        <f>"41139-71J25"</f>
        <v>41139-71J25</v>
      </c>
      <c r="B4833" t="str">
        <f t="shared" si="92"/>
        <v>PIN</v>
      </c>
      <c r="C4833">
        <v>13</v>
      </c>
      <c r="D4833">
        <v>881.68799999999999</v>
      </c>
    </row>
    <row r="4834" spans="1:4">
      <c r="A4834" t="str">
        <f>"41139-9F500"</f>
        <v>41139-9F500</v>
      </c>
      <c r="B4834" t="str">
        <f t="shared" si="92"/>
        <v>PIN</v>
      </c>
      <c r="C4834">
        <v>4</v>
      </c>
      <c r="D4834">
        <v>457.77600000000001</v>
      </c>
    </row>
    <row r="4835" spans="1:4">
      <c r="A4835" t="str">
        <f>"41139-C7002"</f>
        <v>41139-C7002</v>
      </c>
      <c r="B4835" t="str">
        <f t="shared" si="92"/>
        <v>PIN</v>
      </c>
      <c r="C4835">
        <v>0</v>
      </c>
      <c r="D4835">
        <v>334.96799999999996</v>
      </c>
    </row>
    <row r="4836" spans="1:4">
      <c r="A4836" t="str">
        <f>"41140-21C00"</f>
        <v>41140-21C00</v>
      </c>
      <c r="B4836" t="str">
        <f t="shared" si="92"/>
        <v>PIN</v>
      </c>
      <c r="C4836">
        <v>18</v>
      </c>
      <c r="D4836">
        <v>227.66399999999999</v>
      </c>
    </row>
    <row r="4837" spans="1:4">
      <c r="A4837" t="str">
        <f>"41141-95F0A"</f>
        <v>41141-95F0A</v>
      </c>
      <c r="B4837" t="str">
        <f>"Болт направляющего п"</f>
        <v>Болт направляющего п</v>
      </c>
      <c r="C4837">
        <v>20</v>
      </c>
      <c r="D4837">
        <v>122.39999999999999</v>
      </c>
    </row>
    <row r="4838" spans="1:4">
      <c r="A4838" t="str">
        <f>"41142-9F525"</f>
        <v>41142-9F525</v>
      </c>
      <c r="B4838" t="str">
        <f>"GUIDE PIN KIT"</f>
        <v>GUIDE PIN KIT</v>
      </c>
      <c r="C4838">
        <v>2</v>
      </c>
      <c r="D4838">
        <v>1659.336</v>
      </c>
    </row>
    <row r="4839" spans="1:4">
      <c r="A4839" t="str">
        <f>"41151-ZV50A"</f>
        <v>41151-ZV50A</v>
      </c>
      <c r="B4839" t="str">
        <f>"Кожух тормозного суп"</f>
        <v>Кожух тормозного суп</v>
      </c>
      <c r="C4839">
        <v>4</v>
      </c>
      <c r="D4839">
        <v>265.2</v>
      </c>
    </row>
    <row r="4840" spans="1:4">
      <c r="A4840" t="str">
        <f>"41161-ZV50A"</f>
        <v>41161-ZV50A</v>
      </c>
      <c r="B4840" t="str">
        <f>"Кожух тормозного суп"</f>
        <v>Кожух тормозного суп</v>
      </c>
      <c r="C4840">
        <v>4</v>
      </c>
      <c r="D4840">
        <v>265.2</v>
      </c>
    </row>
    <row r="4841" spans="1:4">
      <c r="A4841" t="str">
        <f>"41217-95F0A"</f>
        <v>41217-95F0A</v>
      </c>
      <c r="B4841" t="str">
        <f>"Направляющий палец т"</f>
        <v>Направляющий палец т</v>
      </c>
      <c r="C4841">
        <v>0</v>
      </c>
      <c r="D4841">
        <v>254.18399999999997</v>
      </c>
    </row>
    <row r="4842" spans="1:4">
      <c r="A4842" t="str">
        <f>"41217-JL00A"</f>
        <v>41217-JL00A</v>
      </c>
      <c r="B4842" t="str">
        <f>"Направляющий палец т"</f>
        <v>Направляющий палец т</v>
      </c>
      <c r="C4842">
        <v>27</v>
      </c>
      <c r="D4842">
        <v>447.98399999999998</v>
      </c>
    </row>
    <row r="4843" spans="1:4">
      <c r="A4843" t="str">
        <f>"41250-01A00"</f>
        <v>41250-01A00</v>
      </c>
      <c r="B4843" t="str">
        <f>"BOLT CALIPER"</f>
        <v>BOLT CALIPER</v>
      </c>
      <c r="C4843">
        <v>2</v>
      </c>
      <c r="D4843">
        <v>79.559999999999988</v>
      </c>
    </row>
    <row r="4844" spans="1:4">
      <c r="A4844" t="str">
        <f>"41650-CC40B"</f>
        <v>41650-CC40B</v>
      </c>
      <c r="B4844" t="str">
        <f>"Блок управления задн"</f>
        <v>Блок управления задн</v>
      </c>
      <c r="C4844">
        <v>5</v>
      </c>
      <c r="D4844">
        <v>17603.16</v>
      </c>
    </row>
    <row r="4845" spans="1:4">
      <c r="A4845" t="str">
        <f>"43018-1AA0A"</f>
        <v>43018-1AA0A</v>
      </c>
      <c r="B4845" t="str">
        <f>"Кулак поворотный"</f>
        <v>Кулак поворотный</v>
      </c>
      <c r="C4845">
        <v>2</v>
      </c>
      <c r="D4845">
        <v>14457.071999999998</v>
      </c>
    </row>
    <row r="4846" spans="1:4">
      <c r="A4846" t="str">
        <f>"43018-8H300"</f>
        <v>43018-8H300</v>
      </c>
      <c r="B4846" t="str">
        <f>"HOUSING ASSY-RE"</f>
        <v>HOUSING ASSY-RE</v>
      </c>
      <c r="C4846">
        <v>1</v>
      </c>
      <c r="D4846">
        <v>18586.439999999999</v>
      </c>
    </row>
    <row r="4847" spans="1:4">
      <c r="A4847" t="str">
        <f>"43018-CG000"</f>
        <v>43018-CG000</v>
      </c>
      <c r="B4847" t="str">
        <f>"Цапфа заднего мо"</f>
        <v>Цапфа заднего мо</v>
      </c>
      <c r="C4847">
        <v>0</v>
      </c>
      <c r="D4847">
        <v>13120.871999999999</v>
      </c>
    </row>
    <row r="4848" spans="1:4">
      <c r="A4848" t="str">
        <f>"43019-8H300"</f>
        <v>43019-8H300</v>
      </c>
      <c r="B4848" t="str">
        <f>"HOUSING ASSY-RE"</f>
        <v>HOUSING ASSY-RE</v>
      </c>
      <c r="C4848">
        <v>2</v>
      </c>
      <c r="D4848">
        <v>17466.887999999999</v>
      </c>
    </row>
    <row r="4849" spans="1:4">
      <c r="A4849" t="str">
        <f>"43019-CG000"</f>
        <v>43019-CG000</v>
      </c>
      <c r="B4849" t="str">
        <f>"Цапфа заднего мо"</f>
        <v>Цапфа заднего мо</v>
      </c>
      <c r="C4849">
        <v>0</v>
      </c>
      <c r="D4849">
        <v>12856.487999999999</v>
      </c>
    </row>
    <row r="4850" spans="1:4">
      <c r="A4850" t="str">
        <f>"43019-EB300"</f>
        <v>43019-EB300</v>
      </c>
      <c r="B4850" t="str">
        <f>"Цапфа заднего мо"</f>
        <v>Цапфа заднего мо</v>
      </c>
      <c r="C4850">
        <v>1</v>
      </c>
      <c r="D4850">
        <v>25641.984</v>
      </c>
    </row>
    <row r="4851" spans="1:4">
      <c r="A4851" t="str">
        <f>"43042-AX600"</f>
        <v>43042-AX600</v>
      </c>
      <c r="B4851" t="str">
        <f>"Шток ступицы"</f>
        <v>Шток ступицы</v>
      </c>
      <c r="C4851">
        <v>5</v>
      </c>
      <c r="D4851">
        <v>5584.2959999999994</v>
      </c>
    </row>
    <row r="4852" spans="1:4">
      <c r="A4852" t="str">
        <f>"43059-A1600"</f>
        <v>43059-A1600</v>
      </c>
      <c r="B4852" t="str">
        <f>"NIPPLE GREASE"</f>
        <v>NIPPLE GREASE</v>
      </c>
      <c r="C4852">
        <v>0</v>
      </c>
      <c r="D4852">
        <v>66.095999999999989</v>
      </c>
    </row>
    <row r="4853" spans="1:4">
      <c r="A4853" t="str">
        <f>"43066-8F100"</f>
        <v>43066-8F100</v>
      </c>
      <c r="B4853" t="str">
        <f>"КРОНШТЕЙН"</f>
        <v>КРОНШТЕЙН</v>
      </c>
      <c r="C4853">
        <v>1</v>
      </c>
      <c r="D4853">
        <v>155.04</v>
      </c>
    </row>
    <row r="4854" spans="1:4">
      <c r="A4854" t="str">
        <f>"43070-01J10"</f>
        <v>43070-01J10</v>
      </c>
      <c r="B4854" t="str">
        <f>"SPACER-REAR AXL"</f>
        <v>SPACER-REAR AXL</v>
      </c>
      <c r="C4854">
        <v>1</v>
      </c>
      <c r="D4854">
        <v>344.76</v>
      </c>
    </row>
    <row r="4855" spans="1:4">
      <c r="A4855" t="str">
        <f>"43070-Y9500"</f>
        <v>43070-Y9500</v>
      </c>
      <c r="B4855" t="str">
        <f>"SPACER-REAR AXL"</f>
        <v>SPACER-REAR AXL</v>
      </c>
      <c r="C4855">
        <v>2</v>
      </c>
      <c r="D4855">
        <v>193.392</v>
      </c>
    </row>
    <row r="4856" spans="1:4">
      <c r="A4856" t="str">
        <f>"43085-01J10"</f>
        <v>43085-01J10</v>
      </c>
      <c r="B4856" t="str">
        <f>"O RING RR WHEEL"</f>
        <v>O RING RR WHEEL</v>
      </c>
      <c r="C4856">
        <v>2</v>
      </c>
      <c r="D4856">
        <v>140.35199999999998</v>
      </c>
    </row>
    <row r="4857" spans="1:4">
      <c r="A4857" t="str">
        <f>"43085-42G00"</f>
        <v>43085-42G00</v>
      </c>
      <c r="B4857" t="str">
        <f>"O RING RR WHEEL"</f>
        <v>O RING RR WHEEL</v>
      </c>
      <c r="C4857">
        <v>10</v>
      </c>
      <c r="D4857">
        <v>94.655999999999992</v>
      </c>
    </row>
    <row r="4858" spans="1:4">
      <c r="A4858" t="str">
        <f>"43200-0M001"</f>
        <v>43200-0M001</v>
      </c>
      <c r="B4858" t="str">
        <f>"HUB REAR WHEEL"</f>
        <v>HUB REAR WHEEL</v>
      </c>
      <c r="C4858">
        <v>5</v>
      </c>
      <c r="D4858">
        <v>4677.3119999999999</v>
      </c>
    </row>
    <row r="4859" spans="1:4">
      <c r="A4859" t="str">
        <f>"43200-1L005"</f>
        <v>43200-1L005</v>
      </c>
      <c r="B4859" t="str">
        <f>"Ступица задняя"</f>
        <v>Ступица задняя</v>
      </c>
      <c r="C4859">
        <v>4</v>
      </c>
      <c r="D4859">
        <v>4915.1759999999995</v>
      </c>
    </row>
    <row r="4860" spans="1:4">
      <c r="A4860" t="str">
        <f>"43200-2Y000"</f>
        <v>43200-2Y000</v>
      </c>
      <c r="B4860" t="str">
        <f>"HUB REAR WHEEL"</f>
        <v>HUB REAR WHEEL</v>
      </c>
      <c r="C4860">
        <v>16</v>
      </c>
      <c r="D4860">
        <v>4195.8719999999994</v>
      </c>
    </row>
    <row r="4861" spans="1:4">
      <c r="A4861" t="str">
        <f>"43200-50J06"</f>
        <v>43200-50J06</v>
      </c>
      <c r="B4861" t="str">
        <f>"HUB REAR WHEEL"</f>
        <v>HUB REAR WHEEL</v>
      </c>
      <c r="C4861">
        <v>1</v>
      </c>
      <c r="D4861">
        <v>4643.04</v>
      </c>
    </row>
    <row r="4862" spans="1:4">
      <c r="A4862" t="str">
        <f>"43200-6J000"</f>
        <v>43200-6J000</v>
      </c>
      <c r="B4862" t="str">
        <f>"Ступица задняя"</f>
        <v>Ступица задняя</v>
      </c>
      <c r="C4862">
        <v>5</v>
      </c>
      <c r="D4862">
        <v>4685.0639999999994</v>
      </c>
    </row>
    <row r="4863" spans="1:4">
      <c r="A4863" t="str">
        <f>"43200-95F0C"</f>
        <v>43200-95F0C</v>
      </c>
      <c r="B4863" t="str">
        <f>"Барабан тормозно"</f>
        <v>Барабан тормозно</v>
      </c>
      <c r="C4863">
        <v>0</v>
      </c>
      <c r="D4863">
        <v>3941.6879999999996</v>
      </c>
    </row>
    <row r="4864" spans="1:4">
      <c r="A4864" t="str">
        <f>"43200-9F510"</f>
        <v>43200-9F510</v>
      </c>
      <c r="B4864" t="str">
        <f>"HUB ASSY-REAR"</f>
        <v>HUB ASSY-REAR</v>
      </c>
      <c r="C4864">
        <v>10</v>
      </c>
      <c r="D4864">
        <v>7073.9039999999995</v>
      </c>
    </row>
    <row r="4865" spans="1:4">
      <c r="A4865" t="str">
        <f>"43200-AV700"</f>
        <v>43200-AV700</v>
      </c>
      <c r="B4865" t="str">
        <f>"HUB ASSY-REAR"</f>
        <v>HUB ASSY-REAR</v>
      </c>
      <c r="C4865">
        <v>25</v>
      </c>
      <c r="D4865">
        <v>8375.4240000000009</v>
      </c>
    </row>
    <row r="4866" spans="1:4">
      <c r="A4866" t="str">
        <f>"43200-BM400"</f>
        <v>43200-BM400</v>
      </c>
      <c r="B4866" t="str">
        <f>"HUB REAR WHEEL"</f>
        <v>HUB REAR WHEEL</v>
      </c>
      <c r="C4866">
        <v>10</v>
      </c>
      <c r="D4866">
        <v>4483.92</v>
      </c>
    </row>
    <row r="4867" spans="1:4">
      <c r="A4867" t="str">
        <f>"43200-BM500"</f>
        <v>43200-BM500</v>
      </c>
      <c r="B4867" t="str">
        <f>"HUB ASSY-REAR"</f>
        <v>HUB ASSY-REAR</v>
      </c>
      <c r="C4867">
        <v>5</v>
      </c>
      <c r="D4867">
        <v>6528</v>
      </c>
    </row>
    <row r="4868" spans="1:4">
      <c r="A4868" t="str">
        <f>"43202-1KA0A"</f>
        <v>43202-1KA0A</v>
      </c>
      <c r="B4868" t="str">
        <f>"Ступица задняя"</f>
        <v>Ступица задняя</v>
      </c>
      <c r="C4868">
        <v>2</v>
      </c>
      <c r="D4868">
        <v>9130.2240000000002</v>
      </c>
    </row>
    <row r="4869" spans="1:4">
      <c r="A4869" t="str">
        <f>"43202-4X00A"</f>
        <v>43202-4X00A</v>
      </c>
      <c r="B4869" t="str">
        <f>"Ступица колеса"</f>
        <v>Ступица колеса</v>
      </c>
      <c r="C4869">
        <v>0</v>
      </c>
      <c r="D4869">
        <v>6831.1439999999993</v>
      </c>
    </row>
    <row r="4870" spans="1:4">
      <c r="A4870" t="str">
        <f>"43202-7S000"</f>
        <v>43202-7S000</v>
      </c>
      <c r="B4870" t="str">
        <f>"Ступица задняя"</f>
        <v>Ступица задняя</v>
      </c>
      <c r="C4870">
        <v>20</v>
      </c>
      <c r="D4870">
        <v>8151.0240000000003</v>
      </c>
    </row>
    <row r="4871" spans="1:4">
      <c r="A4871" t="str">
        <f>"43202-95F0A"</f>
        <v>43202-95F0A</v>
      </c>
      <c r="B4871" t="str">
        <f>"Ступица задняя"</f>
        <v>Ступица задняя</v>
      </c>
      <c r="C4871">
        <v>10</v>
      </c>
      <c r="D4871">
        <v>4686.6959999999999</v>
      </c>
    </row>
    <row r="4872" spans="1:4">
      <c r="A4872" t="str">
        <f>"43202-95F0B"</f>
        <v>43202-95F0B</v>
      </c>
      <c r="B4872" t="str">
        <f>"Ступица задняя"</f>
        <v>Ступица задняя</v>
      </c>
      <c r="C4872">
        <v>9</v>
      </c>
      <c r="D4872">
        <v>4743.8159999999998</v>
      </c>
    </row>
    <row r="4873" spans="1:4">
      <c r="A4873" t="str">
        <f>"43202-AG000"</f>
        <v>43202-AG000</v>
      </c>
      <c r="B4873" t="str">
        <f>"HUB REAR WHEEL"</f>
        <v>HUB REAR WHEEL</v>
      </c>
      <c r="C4873">
        <v>2</v>
      </c>
      <c r="D4873">
        <v>7626.3359999999993</v>
      </c>
    </row>
    <row r="4874" spans="1:4">
      <c r="A4874" t="str">
        <f>"43202-CA000"</f>
        <v>43202-CA000</v>
      </c>
      <c r="B4874" t="str">
        <f t="shared" ref="B4874:B4885" si="93">"Ступица задняя"</f>
        <v>Ступица задняя</v>
      </c>
      <c r="C4874">
        <v>7</v>
      </c>
      <c r="D4874">
        <v>9411.3359999999993</v>
      </c>
    </row>
    <row r="4875" spans="1:4">
      <c r="A4875" t="str">
        <f>"43202-CG200"</f>
        <v>43202-CG200</v>
      </c>
      <c r="B4875" t="str">
        <f t="shared" si="93"/>
        <v>Ступица задняя</v>
      </c>
      <c r="C4875">
        <v>0</v>
      </c>
      <c r="D4875">
        <v>4652.8320000000003</v>
      </c>
    </row>
    <row r="4876" spans="1:4">
      <c r="A4876" t="str">
        <f>"43202-CN000"</f>
        <v>43202-CN000</v>
      </c>
      <c r="B4876" t="str">
        <f t="shared" si="93"/>
        <v>Ступица задняя</v>
      </c>
      <c r="C4876">
        <v>20</v>
      </c>
      <c r="D4876">
        <v>7523.1120000000001</v>
      </c>
    </row>
    <row r="4877" spans="1:4">
      <c r="A4877" t="str">
        <f>"43202-EE500"</f>
        <v>43202-EE500</v>
      </c>
      <c r="B4877" t="str">
        <f t="shared" si="93"/>
        <v>Ступица задняя</v>
      </c>
      <c r="C4877">
        <v>15</v>
      </c>
      <c r="D4877">
        <v>8680.6080000000002</v>
      </c>
    </row>
    <row r="4878" spans="1:4">
      <c r="A4878" t="str">
        <f>"43202-EG00A"</f>
        <v>43202-EG00A</v>
      </c>
      <c r="B4878" t="str">
        <f t="shared" si="93"/>
        <v>Ступица задняя</v>
      </c>
      <c r="C4878">
        <v>25</v>
      </c>
      <c r="D4878">
        <v>9633.6959999999999</v>
      </c>
    </row>
    <row r="4879" spans="1:4">
      <c r="A4879" t="str">
        <f>"43202-JG000"</f>
        <v>43202-JG000</v>
      </c>
      <c r="B4879" t="str">
        <f t="shared" si="93"/>
        <v>Ступица задняя</v>
      </c>
      <c r="C4879">
        <v>22</v>
      </c>
      <c r="D4879">
        <v>8913.9839999999986</v>
      </c>
    </row>
    <row r="4880" spans="1:4">
      <c r="A4880" t="str">
        <f>"43202-JG200"</f>
        <v>43202-JG200</v>
      </c>
      <c r="B4880" t="str">
        <f t="shared" si="93"/>
        <v>Ступица задняя</v>
      </c>
      <c r="C4880">
        <v>31</v>
      </c>
      <c r="D4880">
        <v>8602.6799999999985</v>
      </c>
    </row>
    <row r="4881" spans="1:4">
      <c r="A4881" t="str">
        <f>"43202-JG21A"</f>
        <v>43202-JG21A</v>
      </c>
      <c r="B4881" t="str">
        <f t="shared" si="93"/>
        <v>Ступица задняя</v>
      </c>
      <c r="C4881">
        <v>5</v>
      </c>
      <c r="D4881">
        <v>8602.6799999999985</v>
      </c>
    </row>
    <row r="4882" spans="1:4">
      <c r="A4882" t="str">
        <f>"43202-JK00A"</f>
        <v>43202-JK00A</v>
      </c>
      <c r="B4882" t="str">
        <f t="shared" si="93"/>
        <v>Ступица задняя</v>
      </c>
      <c r="C4882">
        <v>18</v>
      </c>
      <c r="D4882">
        <v>8297.0879999999997</v>
      </c>
    </row>
    <row r="4883" spans="1:4">
      <c r="A4883" t="str">
        <f>"43202-JP00A"</f>
        <v>43202-JP00A</v>
      </c>
      <c r="B4883" t="str">
        <f t="shared" si="93"/>
        <v>Ступица задняя</v>
      </c>
      <c r="C4883">
        <v>17</v>
      </c>
      <c r="D4883">
        <v>8641.0319999999992</v>
      </c>
    </row>
    <row r="4884" spans="1:4">
      <c r="A4884" t="str">
        <f>"43202-JP20A"</f>
        <v>43202-JP20A</v>
      </c>
      <c r="B4884" t="str">
        <f t="shared" si="93"/>
        <v>Ступица задняя</v>
      </c>
      <c r="C4884">
        <v>2</v>
      </c>
      <c r="D4884">
        <v>8753.232</v>
      </c>
    </row>
    <row r="4885" spans="1:4">
      <c r="A4885" t="str">
        <f>"43202-WL010"</f>
        <v>43202-WL010</v>
      </c>
      <c r="B4885" t="str">
        <f t="shared" si="93"/>
        <v>Ступица задняя</v>
      </c>
      <c r="C4885">
        <v>32</v>
      </c>
      <c r="D4885">
        <v>3784.2</v>
      </c>
    </row>
    <row r="4886" spans="1:4">
      <c r="A4886" t="str">
        <f>"43206-01J10"</f>
        <v>43206-01J10</v>
      </c>
      <c r="B4886" t="str">
        <f>"DRUM-BRAKE REAR"</f>
        <v>DRUM-BRAKE REAR</v>
      </c>
      <c r="C4886">
        <v>3</v>
      </c>
      <c r="D4886">
        <v>5346.4319999999998</v>
      </c>
    </row>
    <row r="4887" spans="1:4">
      <c r="A4887" t="str">
        <f>"43206-1CA0A"</f>
        <v>43206-1CA0A</v>
      </c>
      <c r="B4887" t="str">
        <f>"Диск тормозной"</f>
        <v>Диск тормозной</v>
      </c>
      <c r="C4887">
        <v>9</v>
      </c>
      <c r="D4887">
        <v>3187.2959999999998</v>
      </c>
    </row>
    <row r="4888" spans="1:4">
      <c r="A4888" t="str">
        <f>"43206-1LB0A"</f>
        <v>43206-1LB0A</v>
      </c>
      <c r="B4888" t="str">
        <f>"Диск тормозной"</f>
        <v>Диск тормозной</v>
      </c>
      <c r="C4888">
        <v>6</v>
      </c>
      <c r="D4888">
        <v>3096.3120000000004</v>
      </c>
    </row>
    <row r="4889" spans="1:4">
      <c r="A4889" t="str">
        <f>"43206-2Y003"</f>
        <v>43206-2Y003</v>
      </c>
      <c r="B4889" t="str">
        <f>"ROTOR-DISC BRAK"</f>
        <v>ROTOR-DISC BRAK</v>
      </c>
      <c r="C4889">
        <v>0</v>
      </c>
      <c r="D4889">
        <v>2840.4959999999996</v>
      </c>
    </row>
    <row r="4890" spans="1:4">
      <c r="A4890" t="str">
        <f>"43206-4P000"</f>
        <v>43206-4P000</v>
      </c>
      <c r="B4890" t="str">
        <f>"ROTOR DISC"</f>
        <v>ROTOR DISC</v>
      </c>
      <c r="C4890">
        <v>2</v>
      </c>
      <c r="D4890">
        <v>3096.3120000000004</v>
      </c>
    </row>
    <row r="4891" spans="1:4">
      <c r="A4891" t="str">
        <f>"43206-4U001"</f>
        <v>43206-4U001</v>
      </c>
      <c r="B4891" t="str">
        <f>"ROTOR-DISC BRAK"</f>
        <v>ROTOR-DISC BRAK</v>
      </c>
      <c r="C4891">
        <v>8</v>
      </c>
      <c r="D4891">
        <v>2581.0080000000003</v>
      </c>
    </row>
    <row r="4892" spans="1:4">
      <c r="A4892" t="str">
        <f>"43206-4U101"</f>
        <v>43206-4U101</v>
      </c>
      <c r="B4892" t="str">
        <f>"ROTOR-DISC BRAK"</f>
        <v>ROTOR-DISC BRAK</v>
      </c>
      <c r="C4892">
        <v>2</v>
      </c>
      <c r="D4892">
        <v>3383.5439999999999</v>
      </c>
    </row>
    <row r="4893" spans="1:4">
      <c r="A4893" t="str">
        <f>"43206-4Z801"</f>
        <v>43206-4Z801</v>
      </c>
      <c r="B4893" t="str">
        <f>"Барабан тормозной за"</f>
        <v>Барабан тормозной за</v>
      </c>
      <c r="C4893">
        <v>4</v>
      </c>
      <c r="D4893">
        <v>3187.7040000000002</v>
      </c>
    </row>
    <row r="4894" spans="1:4">
      <c r="A4894" t="str">
        <f>"43206-54C01"</f>
        <v>43206-54C01</v>
      </c>
      <c r="B4894" t="str">
        <f>"ROTOR-DISC BRAK"</f>
        <v>ROTOR-DISC BRAK</v>
      </c>
      <c r="C4894">
        <v>3</v>
      </c>
      <c r="D4894">
        <v>1753.5839999999998</v>
      </c>
    </row>
    <row r="4895" spans="1:4">
      <c r="A4895" t="str">
        <f>"43206-58Y01"</f>
        <v>43206-58Y01</v>
      </c>
      <c r="B4895" t="str">
        <f>"ROTOR-DISC BRAK"</f>
        <v>ROTOR-DISC BRAK</v>
      </c>
      <c r="C4895">
        <v>1</v>
      </c>
      <c r="D4895">
        <v>1632</v>
      </c>
    </row>
    <row r="4896" spans="1:4">
      <c r="A4896" t="str">
        <f>"43206-5F001"</f>
        <v>43206-5F001</v>
      </c>
      <c r="B4896" t="str">
        <f>"ROTOR-DISC BRAK"</f>
        <v>ROTOR-DISC BRAK</v>
      </c>
      <c r="C4896">
        <v>2</v>
      </c>
      <c r="D4896">
        <v>998.37599999999998</v>
      </c>
    </row>
    <row r="4897" spans="1:4">
      <c r="A4897" t="str">
        <f>"43206-7S000"</f>
        <v>43206-7S000</v>
      </c>
      <c r="B4897" t="str">
        <f>"Диск тормозной задни"</f>
        <v>Диск тормозной задни</v>
      </c>
      <c r="C4897">
        <v>0</v>
      </c>
      <c r="D4897">
        <v>4979.6399999999994</v>
      </c>
    </row>
    <row r="4898" spans="1:4">
      <c r="A4898" t="str">
        <f>"43206-8H305"</f>
        <v>43206-8H305</v>
      </c>
      <c r="B4898" t="str">
        <f>"ROTOR-DISC BRAK"</f>
        <v>ROTOR-DISC BRAK</v>
      </c>
      <c r="C4898">
        <v>12</v>
      </c>
      <c r="D4898">
        <v>2443.9199999999996</v>
      </c>
    </row>
    <row r="4899" spans="1:4">
      <c r="A4899" t="str">
        <f>"43206-99J01"</f>
        <v>43206-99J01</v>
      </c>
      <c r="B4899" t="str">
        <f>"ROTOR-DISC BRAK"</f>
        <v>ROTOR-DISC BRAK</v>
      </c>
      <c r="C4899">
        <v>6</v>
      </c>
      <c r="D4899">
        <v>1985.328</v>
      </c>
    </row>
    <row r="4900" spans="1:4">
      <c r="A4900" t="str">
        <f>"43206-9E601"</f>
        <v>43206-9E601</v>
      </c>
      <c r="B4900" t="str">
        <f>"ROTOR-DISC BRAK"</f>
        <v>ROTOR-DISC BRAK</v>
      </c>
      <c r="C4900">
        <v>1</v>
      </c>
      <c r="D4900">
        <v>1958.3999999999999</v>
      </c>
    </row>
    <row r="4901" spans="1:4">
      <c r="A4901" t="str">
        <f>"43206-AG911"</f>
        <v>43206-AG911</v>
      </c>
      <c r="B4901" t="str">
        <f>"Диск тормозной"</f>
        <v>Диск тормозной</v>
      </c>
      <c r="C4901">
        <v>4</v>
      </c>
      <c r="D4901">
        <v>3096.3120000000004</v>
      </c>
    </row>
    <row r="4902" spans="1:4">
      <c r="A4902" t="str">
        <f>"43206-AX650"</f>
        <v>43206-AX650</v>
      </c>
      <c r="B4902" t="str">
        <f>"DRUM-BRAKE,REAR"</f>
        <v>DRUM-BRAKE,REAR</v>
      </c>
      <c r="C4902">
        <v>1</v>
      </c>
      <c r="D4902">
        <v>4040.0159999999996</v>
      </c>
    </row>
    <row r="4903" spans="1:4">
      <c r="A4903" t="str">
        <f>"43206-CA000"</f>
        <v>43206-CA000</v>
      </c>
      <c r="B4903" t="str">
        <f>"ROTOR-DISK BRAK"</f>
        <v>ROTOR-DISK BRAK</v>
      </c>
      <c r="C4903">
        <v>8</v>
      </c>
      <c r="D4903">
        <v>3096.3120000000004</v>
      </c>
    </row>
    <row r="4904" spans="1:4">
      <c r="A4904" t="str">
        <f>"43206-EB300"</f>
        <v>43206-EB300</v>
      </c>
      <c r="B4904" t="str">
        <f>"ROTOR-DISC BRAK"</f>
        <v>ROTOR-DISC BRAK</v>
      </c>
      <c r="C4904">
        <v>10</v>
      </c>
      <c r="D4904">
        <v>3096.3120000000004</v>
      </c>
    </row>
    <row r="4905" spans="1:4">
      <c r="A4905" t="str">
        <f>"43206-EG000"</f>
        <v>43206-EG000</v>
      </c>
      <c r="B4905" t="str">
        <f>"Диск тормозной"</f>
        <v>Диск тормозной</v>
      </c>
      <c r="C4905">
        <v>0</v>
      </c>
      <c r="D4905">
        <v>3096.3120000000004</v>
      </c>
    </row>
    <row r="4906" spans="1:4">
      <c r="A4906" t="str">
        <f>"43206-EM10A"</f>
        <v>43206-EM10A</v>
      </c>
      <c r="B4906" t="str">
        <f>"Диск тормозной"</f>
        <v>Диск тормозной</v>
      </c>
      <c r="C4906">
        <v>4</v>
      </c>
      <c r="D4906">
        <v>2576.9279999999999</v>
      </c>
    </row>
    <row r="4907" spans="1:4">
      <c r="A4907" t="str">
        <f>"43206-JD00A"</f>
        <v>43206-JD00A</v>
      </c>
      <c r="B4907" t="str">
        <f>"Диск тормозной"</f>
        <v>Диск тормозной</v>
      </c>
      <c r="C4907">
        <v>2</v>
      </c>
      <c r="D4907">
        <v>2959.6320000000001</v>
      </c>
    </row>
    <row r="4908" spans="1:4">
      <c r="A4908" t="str">
        <f>"43206-JK600"</f>
        <v>43206-JK600</v>
      </c>
      <c r="B4908" t="str">
        <f>"Диск тормозной"</f>
        <v>Диск тормозной</v>
      </c>
      <c r="C4908">
        <v>3</v>
      </c>
      <c r="D4908">
        <v>2388.4319999999998</v>
      </c>
    </row>
    <row r="4909" spans="1:4">
      <c r="A4909" t="str">
        <f>"43206-JL00A"</f>
        <v>43206-JL00A</v>
      </c>
      <c r="B4909" t="str">
        <f>"Диск тормозной"</f>
        <v>Диск тормозной</v>
      </c>
      <c r="C4909">
        <v>14</v>
      </c>
      <c r="D4909">
        <v>3096.3120000000004</v>
      </c>
    </row>
    <row r="4910" spans="1:4">
      <c r="A4910" t="str">
        <f>"43206-VB000"</f>
        <v>43206-VB000</v>
      </c>
      <c r="B4910" t="str">
        <f>"ROTOR-DISC BRAK"</f>
        <v>ROTOR-DISC BRAK</v>
      </c>
      <c r="C4910">
        <v>1</v>
      </c>
      <c r="D4910">
        <v>3096.3120000000004</v>
      </c>
    </row>
    <row r="4911" spans="1:4">
      <c r="A4911" t="str">
        <f>"43206-VC200"</f>
        <v>43206-VC200</v>
      </c>
      <c r="B4911" t="str">
        <f>"ROTOR DISC BRA"</f>
        <v>ROTOR DISC BRA</v>
      </c>
      <c r="C4911">
        <v>4</v>
      </c>
      <c r="D4911">
        <v>2840.4959999999996</v>
      </c>
    </row>
    <row r="4912" spans="1:4">
      <c r="A4912" t="str">
        <f>"43206-VM30B"</f>
        <v>43206-VM30B</v>
      </c>
      <c r="B4912" t="str">
        <f>"Барабан тормозной за"</f>
        <v>Барабан тормозной за</v>
      </c>
      <c r="C4912">
        <v>3</v>
      </c>
      <c r="D4912">
        <v>4671.5999999999995</v>
      </c>
    </row>
    <row r="4913" spans="1:4">
      <c r="A4913" t="str">
        <f>"43210-01J10"</f>
        <v>43210-01J10</v>
      </c>
      <c r="B4913" t="str">
        <f>"BRG RR WHEEL OU"</f>
        <v>BRG RR WHEEL OU</v>
      </c>
      <c r="C4913">
        <v>0</v>
      </c>
      <c r="D4913">
        <v>2217.0719999999997</v>
      </c>
    </row>
    <row r="4914" spans="1:4">
      <c r="A4914" t="str">
        <f>"43210-0C710"</f>
        <v>43210-0C710</v>
      </c>
      <c r="B4914" t="str">
        <f>"A BRG RR WHEEL"</f>
        <v>A BRG RR WHEEL</v>
      </c>
      <c r="C4914">
        <v>7</v>
      </c>
      <c r="D4914">
        <v>2118.7439999999997</v>
      </c>
    </row>
    <row r="4915" spans="1:4">
      <c r="A4915" t="str">
        <f>"43210-42G10"</f>
        <v>43210-42G10</v>
      </c>
      <c r="B4915" t="str">
        <f>"A BRG RR WHEEL"</f>
        <v>A BRG RR WHEEL</v>
      </c>
      <c r="C4915">
        <v>1</v>
      </c>
      <c r="D4915">
        <v>1605.0719999999999</v>
      </c>
    </row>
    <row r="4916" spans="1:4">
      <c r="A4916" t="str">
        <f>"43210-8H300"</f>
        <v>43210-8H300</v>
      </c>
      <c r="B4916" t="str">
        <f>"Подшипник задней сту"</f>
        <v>Подшипник задней сту</v>
      </c>
      <c r="C4916">
        <v>10</v>
      </c>
      <c r="D4916">
        <v>1515.7199999999998</v>
      </c>
    </row>
    <row r="4917" spans="1:4">
      <c r="A4917" t="str">
        <f>"43210-AA100"</f>
        <v>43210-AA100</v>
      </c>
      <c r="B4917" t="str">
        <f>"A BRG RR WHEEL"</f>
        <v>A BRG RR WHEEL</v>
      </c>
      <c r="C4917">
        <v>3</v>
      </c>
      <c r="D4917">
        <v>2768.28</v>
      </c>
    </row>
    <row r="4918" spans="1:4">
      <c r="A4918" t="str">
        <f>"43210-AG000"</f>
        <v>43210-AG000</v>
      </c>
      <c r="B4918" t="str">
        <f>"A BRG RR WHEEL"</f>
        <v>A BRG RR WHEEL</v>
      </c>
      <c r="C4918">
        <v>81</v>
      </c>
      <c r="D4918">
        <v>1880.88</v>
      </c>
    </row>
    <row r="4919" spans="1:4">
      <c r="A4919" t="str">
        <f>"43210-AL505"</f>
        <v>43210-AL505</v>
      </c>
      <c r="B4919" t="str">
        <f>"A BRG RR WHEEL"</f>
        <v>A BRG RR WHEEL</v>
      </c>
      <c r="C4919">
        <v>72</v>
      </c>
      <c r="D4919">
        <v>1338.6479999999999</v>
      </c>
    </row>
    <row r="4920" spans="1:4">
      <c r="A4920" t="str">
        <f>"43210-AR100"</f>
        <v>43210-AR100</v>
      </c>
      <c r="B4920" t="str">
        <f>"A BRG RR WHEEL"</f>
        <v>A BRG RR WHEEL</v>
      </c>
      <c r="C4920">
        <v>10</v>
      </c>
      <c r="D4920">
        <v>2913.5279999999998</v>
      </c>
    </row>
    <row r="4921" spans="1:4">
      <c r="A4921" t="str">
        <f>"43210-AZ300"</f>
        <v>43210-AZ300</v>
      </c>
      <c r="B4921" t="str">
        <f>"BEARING-REAR AX"</f>
        <v>BEARING-REAR AX</v>
      </c>
      <c r="C4921">
        <v>0</v>
      </c>
      <c r="D4921">
        <v>820.89600000000007</v>
      </c>
    </row>
    <row r="4922" spans="1:4">
      <c r="A4922" t="str">
        <f>"43210-C9300"</f>
        <v>43210-C9300</v>
      </c>
      <c r="B4922" t="str">
        <f>"A BRG RR WHEEL"</f>
        <v>A BRG RR WHEEL</v>
      </c>
      <c r="C4922">
        <v>23</v>
      </c>
      <c r="D4922">
        <v>1039.1759999999999</v>
      </c>
    </row>
    <row r="4923" spans="1:4">
      <c r="A4923" t="str">
        <f>"43210-WL000"</f>
        <v>43210-WL000</v>
      </c>
      <c r="B4923" t="str">
        <f>"A BRG RR WHEEL"</f>
        <v>A BRG RR WHEEL</v>
      </c>
      <c r="C4923">
        <v>64</v>
      </c>
      <c r="D4923">
        <v>2537.7600000000002</v>
      </c>
    </row>
    <row r="4924" spans="1:4">
      <c r="A4924" t="str">
        <f>"43215-52L60"</f>
        <v>43215-52L60</v>
      </c>
      <c r="B4924" t="str">
        <f>"BRG RR WHEEL OU"</f>
        <v>BRG RR WHEEL OU</v>
      </c>
      <c r="C4924">
        <v>5</v>
      </c>
      <c r="D4924">
        <v>836.80799999999999</v>
      </c>
    </row>
    <row r="4925" spans="1:4">
      <c r="A4925" t="str">
        <f>"43215-G8100"</f>
        <v>43215-G8100</v>
      </c>
      <c r="B4925" t="str">
        <f>"BRG RR WHEEL OU"</f>
        <v>BRG RR WHEEL OU</v>
      </c>
      <c r="C4925">
        <v>0</v>
      </c>
      <c r="D4925">
        <v>754.8</v>
      </c>
    </row>
    <row r="4926" spans="1:4">
      <c r="A4926" t="str">
        <f>"43215-P0100"</f>
        <v>43215-P0100</v>
      </c>
      <c r="B4926" t="str">
        <f>"BRG RR WHEEL OU"</f>
        <v>BRG RR WHEEL OU</v>
      </c>
      <c r="C4926">
        <v>3</v>
      </c>
      <c r="D4926">
        <v>702.16800000000001</v>
      </c>
    </row>
    <row r="4927" spans="1:4">
      <c r="A4927" t="str">
        <f>"43222-41B00"</f>
        <v>43222-41B00</v>
      </c>
      <c r="B4927" t="str">
        <f>"BOLT-HUB"</f>
        <v>BOLT-HUB</v>
      </c>
      <c r="C4927">
        <v>152</v>
      </c>
      <c r="D4927">
        <v>61.199999999999996</v>
      </c>
    </row>
    <row r="4928" spans="1:4">
      <c r="A4928" t="str">
        <f>"43222-70T00"</f>
        <v>43222-70T00</v>
      </c>
      <c r="B4928" t="str">
        <f>"BOLT-HUB"</f>
        <v>BOLT-HUB</v>
      </c>
      <c r="C4928">
        <v>67</v>
      </c>
      <c r="D4928">
        <v>79.151999999999987</v>
      </c>
    </row>
    <row r="4929" spans="1:4">
      <c r="A4929" t="str">
        <f>"43222-91P0A"</f>
        <v>43222-91P0A</v>
      </c>
      <c r="B4929" t="str">
        <f>"Шпилька ступицы"</f>
        <v>Шпилька ступицы</v>
      </c>
      <c r="C4929">
        <v>0</v>
      </c>
      <c r="D4929">
        <v>100.36799999999999</v>
      </c>
    </row>
    <row r="4930" spans="1:4">
      <c r="A4930" t="str">
        <f>"43232-01G10"</f>
        <v>43232-01G10</v>
      </c>
      <c r="B4930" t="str">
        <f>"SEAL-OIL"</f>
        <v>SEAL-OIL</v>
      </c>
      <c r="C4930">
        <v>15</v>
      </c>
      <c r="D4930">
        <v>340.67999999999995</v>
      </c>
    </row>
    <row r="4931" spans="1:4">
      <c r="A4931" t="str">
        <f>"43232-01J10"</f>
        <v>43232-01J10</v>
      </c>
      <c r="B4931" t="str">
        <f>"SEAL-GREASE"</f>
        <v>SEAL-GREASE</v>
      </c>
      <c r="C4931">
        <v>37</v>
      </c>
      <c r="D4931">
        <v>374.95199999999994</v>
      </c>
    </row>
    <row r="4932" spans="1:4">
      <c r="A4932" t="str">
        <f>"43232-0T000"</f>
        <v>43232-0T000</v>
      </c>
      <c r="B4932" t="str">
        <f>"SEAL-GREASE"</f>
        <v>SEAL-GREASE</v>
      </c>
      <c r="C4932">
        <v>3</v>
      </c>
      <c r="D4932">
        <v>178.70399999999998</v>
      </c>
    </row>
    <row r="4933" spans="1:4">
      <c r="A4933" t="str">
        <f>"43232-11G00"</f>
        <v>43232-11G00</v>
      </c>
      <c r="B4933" t="str">
        <f>"SEAL-OIL"</f>
        <v>SEAL-OIL</v>
      </c>
      <c r="C4933">
        <v>4</v>
      </c>
      <c r="D4933">
        <v>252.14400000000001</v>
      </c>
    </row>
    <row r="4934" spans="1:4">
      <c r="A4934" t="str">
        <f>"43232-9C500"</f>
        <v>43232-9C500</v>
      </c>
      <c r="B4934" t="str">
        <f>"SEAL-GREASE,REA"</f>
        <v>SEAL-GREASE,REA</v>
      </c>
      <c r="C4934">
        <v>2</v>
      </c>
      <c r="D4934">
        <v>332.52000000000004</v>
      </c>
    </row>
    <row r="4935" spans="1:4">
      <c r="A4935" t="str">
        <f>"43232-EB70A"</f>
        <v>43232-EB70A</v>
      </c>
      <c r="B4935" t="str">
        <f>"Сальник ступицы задн"</f>
        <v>Сальник ступицы задн</v>
      </c>
      <c r="C4935">
        <v>28</v>
      </c>
      <c r="D4935">
        <v>390.45599999999996</v>
      </c>
    </row>
    <row r="4936" spans="1:4">
      <c r="A4936" t="str">
        <f>"43233-45460"</f>
        <v>43233-45460</v>
      </c>
      <c r="B4936" t="str">
        <f>"WASHER LOCK NUT"</f>
        <v>WASHER LOCK NUT</v>
      </c>
      <c r="C4936">
        <v>12</v>
      </c>
      <c r="D4936">
        <v>152.59199999999998</v>
      </c>
    </row>
    <row r="4937" spans="1:4">
      <c r="A4937" t="str">
        <f>"43234-0L76C"</f>
        <v>43234-0L76C</v>
      </c>
      <c r="B4937" t="str">
        <f>"Колпачек ступицы"</f>
        <v>Колпачек ступицы</v>
      </c>
      <c r="C4937">
        <v>10</v>
      </c>
      <c r="D4937">
        <v>255.40799999999999</v>
      </c>
    </row>
    <row r="4938" spans="1:4">
      <c r="A4938" t="str">
        <f>"43234-0W000"</f>
        <v>43234-0W000</v>
      </c>
      <c r="B4938" t="str">
        <f>"WASHER-LOCK"</f>
        <v>WASHER-LOCK</v>
      </c>
      <c r="C4938">
        <v>6</v>
      </c>
      <c r="D4938">
        <v>65.28</v>
      </c>
    </row>
    <row r="4939" spans="1:4">
      <c r="A4939" t="str">
        <f>"43234-31U00"</f>
        <v>43234-31U00</v>
      </c>
      <c r="B4939" t="str">
        <f>"CAP HUB FRONF"</f>
        <v>CAP HUB FRONF</v>
      </c>
      <c r="C4939">
        <v>10</v>
      </c>
      <c r="D4939">
        <v>254.18399999999997</v>
      </c>
    </row>
    <row r="4940" spans="1:4">
      <c r="A4940" t="str">
        <f>"43252-0W000"</f>
        <v>43252-0W000</v>
      </c>
      <c r="B4940" t="str">
        <f>"SEAL-OIL RR"</f>
        <v>SEAL-OIL RR</v>
      </c>
      <c r="C4940">
        <v>15</v>
      </c>
      <c r="D4940">
        <v>252.96</v>
      </c>
    </row>
    <row r="4941" spans="1:4">
      <c r="A4941" t="str">
        <f>"43252-7S200"</f>
        <v>43252-7S200</v>
      </c>
      <c r="B4941" t="str">
        <f>"Сальник полуоси задн"</f>
        <v>Сальник полуоси задн</v>
      </c>
      <c r="C4941">
        <v>17</v>
      </c>
      <c r="D4941">
        <v>281.928</v>
      </c>
    </row>
    <row r="4942" spans="1:4">
      <c r="A4942" t="str">
        <f>"43252-C6001"</f>
        <v>43252-C6001</v>
      </c>
      <c r="B4942" t="str">
        <f>"SEAL-OIL RR"</f>
        <v>SEAL-OIL RR</v>
      </c>
      <c r="C4942">
        <v>4</v>
      </c>
      <c r="D4942">
        <v>244.392</v>
      </c>
    </row>
    <row r="4943" spans="1:4">
      <c r="A4943" t="str">
        <f>"43252-H1000"</f>
        <v>43252-H1000</v>
      </c>
      <c r="B4943" t="str">
        <f>"SEAL-OIL"</f>
        <v>SEAL-OIL</v>
      </c>
      <c r="C4943">
        <v>0</v>
      </c>
      <c r="D4943">
        <v>149.73599999999999</v>
      </c>
    </row>
    <row r="4944" spans="1:4">
      <c r="A4944" t="str">
        <f>"43252-T6200"</f>
        <v>43252-T6200</v>
      </c>
      <c r="B4944" t="str">
        <f>"SEAL-OIL"</f>
        <v>SEAL-OIL</v>
      </c>
      <c r="C4944">
        <v>0</v>
      </c>
      <c r="D4944">
        <v>165.648</v>
      </c>
    </row>
    <row r="4945" spans="1:4">
      <c r="A4945" t="str">
        <f>"43252-VH300"</f>
        <v>43252-VH300</v>
      </c>
      <c r="B4945" t="str">
        <f>"SEAL-OIL REAR"</f>
        <v>SEAL-OIL REAR</v>
      </c>
      <c r="C4945">
        <v>7</v>
      </c>
      <c r="D4945">
        <v>252.14400000000001</v>
      </c>
    </row>
    <row r="4946" spans="1:4">
      <c r="A4946" t="str">
        <f>"43252-VW000"</f>
        <v>43252-VW000</v>
      </c>
      <c r="B4946" t="str">
        <f>"SEAL-OIL REAR"</f>
        <v>SEAL-OIL REAR</v>
      </c>
      <c r="C4946">
        <v>12</v>
      </c>
      <c r="D4946">
        <v>252.14400000000001</v>
      </c>
    </row>
    <row r="4947" spans="1:4">
      <c r="A4947" t="str">
        <f>"43255-H1000"</f>
        <v>43255-H1000</v>
      </c>
      <c r="B4947" t="str">
        <f>"COLLAR-BEARING"</f>
        <v>COLLAR-BEARING</v>
      </c>
      <c r="C4947">
        <v>7</v>
      </c>
      <c r="D4947">
        <v>421.464</v>
      </c>
    </row>
    <row r="4948" spans="1:4">
      <c r="A4948" t="str">
        <f>"43262-00Q0B"</f>
        <v>43262-00Q0B</v>
      </c>
      <c r="B4948" t="str">
        <f>"Гайка ступичная"</f>
        <v>Гайка ступичная</v>
      </c>
      <c r="C4948">
        <v>1</v>
      </c>
      <c r="D4948">
        <v>99.144000000000005</v>
      </c>
    </row>
    <row r="4949" spans="1:4">
      <c r="A4949" t="str">
        <f>"43262-4M400"</f>
        <v>43262-4M400</v>
      </c>
      <c r="B4949" t="str">
        <f>"NUT-LOCK"</f>
        <v>NUT-LOCK</v>
      </c>
      <c r="C4949">
        <v>22</v>
      </c>
      <c r="D4949">
        <v>102</v>
      </c>
    </row>
    <row r="4950" spans="1:4">
      <c r="A4950" t="str">
        <f>"44001-8H30A"</f>
        <v>44001-8H30A</v>
      </c>
      <c r="B4950" t="str">
        <f>"Суппорт тормозной за"</f>
        <v>Суппорт тормозной за</v>
      </c>
      <c r="C4950">
        <v>1</v>
      </c>
      <c r="D4950">
        <v>11781.816000000001</v>
      </c>
    </row>
    <row r="4951" spans="1:4">
      <c r="A4951" t="str">
        <f>"44001-BA00B"</f>
        <v>44001-BA00B</v>
      </c>
      <c r="B4951" t="str">
        <f>"Суппорт тормозной за"</f>
        <v>Суппорт тормозной за</v>
      </c>
      <c r="C4951">
        <v>5</v>
      </c>
      <c r="D4951">
        <v>13953.6</v>
      </c>
    </row>
    <row r="4952" spans="1:4">
      <c r="A4952" t="str">
        <f>"44001-BM40A"</f>
        <v>44001-BM40A</v>
      </c>
      <c r="B4952" t="str">
        <f>"Суппорт тормозной за"</f>
        <v>Суппорт тормозной за</v>
      </c>
      <c r="C4952">
        <v>3</v>
      </c>
      <c r="D4952">
        <v>12583.536</v>
      </c>
    </row>
    <row r="4953" spans="1:4">
      <c r="A4953" t="str">
        <f>"44001-CL70B"</f>
        <v>44001-CL70B</v>
      </c>
      <c r="B4953" t="str">
        <f>"Суппорт тормозной за"</f>
        <v>Суппорт тормозной за</v>
      </c>
      <c r="C4953">
        <v>7</v>
      </c>
      <c r="D4953">
        <v>11905.032000000001</v>
      </c>
    </row>
    <row r="4954" spans="1:4">
      <c r="A4954" t="str">
        <f>"44001-EB30A"</f>
        <v>44001-EB30A</v>
      </c>
      <c r="B4954" t="str">
        <f>"Суппорт тормозно"</f>
        <v>Суппорт тормозно</v>
      </c>
      <c r="C4954">
        <v>1</v>
      </c>
      <c r="D4954">
        <v>11011.512000000001</v>
      </c>
    </row>
    <row r="4955" spans="1:4">
      <c r="A4955" t="str">
        <f>"44001-JA01A"</f>
        <v>44001-JA01A</v>
      </c>
      <c r="B4955" t="str">
        <f>"Суппорт тормозно"</f>
        <v>Суппорт тормозно</v>
      </c>
      <c r="C4955">
        <v>1</v>
      </c>
      <c r="D4955">
        <v>10237.128000000001</v>
      </c>
    </row>
    <row r="4956" spans="1:4">
      <c r="A4956" t="str">
        <f>"44001-VS40A"</f>
        <v>44001-VS40A</v>
      </c>
      <c r="B4956" t="str">
        <f>"Суппорт тормозной за"</f>
        <v>Суппорт тормозной за</v>
      </c>
      <c r="C4956">
        <v>2</v>
      </c>
      <c r="D4956">
        <v>13137.6</v>
      </c>
    </row>
    <row r="4957" spans="1:4">
      <c r="A4957" t="str">
        <f>"44001-ZD82A"</f>
        <v>44001-ZD82A</v>
      </c>
      <c r="B4957" t="str">
        <f>"Суппорт тормозно"</f>
        <v>Суппорт тормозно</v>
      </c>
      <c r="C4957">
        <v>0</v>
      </c>
      <c r="D4957">
        <v>9392.9759999999987</v>
      </c>
    </row>
    <row r="4958" spans="1:4">
      <c r="A4958" t="str">
        <f>"44011-8H30A"</f>
        <v>44011-8H30A</v>
      </c>
      <c r="B4958" t="str">
        <f>"Суппорт тормозной за"</f>
        <v>Суппорт тормозной за</v>
      </c>
      <c r="C4958">
        <v>13</v>
      </c>
      <c r="D4958">
        <v>11934.816000000001</v>
      </c>
    </row>
    <row r="4959" spans="1:4">
      <c r="A4959" t="str">
        <f>"44011-BA00B"</f>
        <v>44011-BA00B</v>
      </c>
      <c r="B4959" t="str">
        <f>"Суппорт тормозной за"</f>
        <v>Суппорт тормозной за</v>
      </c>
      <c r="C4959">
        <v>3</v>
      </c>
      <c r="D4959">
        <v>13952.375999999998</v>
      </c>
    </row>
    <row r="4960" spans="1:4">
      <c r="A4960" t="str">
        <f>"44011-BM40A"</f>
        <v>44011-BM40A</v>
      </c>
      <c r="B4960" t="str">
        <f>"Суппорт тормозной за"</f>
        <v>Суппорт тормозной за</v>
      </c>
      <c r="C4960">
        <v>2</v>
      </c>
      <c r="D4960">
        <v>12878.52</v>
      </c>
    </row>
    <row r="4961" spans="1:4">
      <c r="A4961" t="str">
        <f>"44011-CL70B"</f>
        <v>44011-CL70B</v>
      </c>
      <c r="B4961" t="str">
        <f>"Суппорт тормозной за"</f>
        <v>Суппорт тормозной за</v>
      </c>
      <c r="C4961">
        <v>6</v>
      </c>
      <c r="D4961">
        <v>11905.032000000001</v>
      </c>
    </row>
    <row r="4962" spans="1:4">
      <c r="A4962" t="str">
        <f>"44011-EB30A"</f>
        <v>44011-EB30A</v>
      </c>
      <c r="B4962" t="str">
        <f>"Суппорт тормозно"</f>
        <v>Суппорт тормозно</v>
      </c>
      <c r="C4962">
        <v>1</v>
      </c>
      <c r="D4962">
        <v>11011.512000000001</v>
      </c>
    </row>
    <row r="4963" spans="1:4">
      <c r="A4963" t="str">
        <f>"44011-JA01A"</f>
        <v>44011-JA01A</v>
      </c>
      <c r="B4963" t="str">
        <f>"Суппорт тормозно"</f>
        <v>Суппорт тормозно</v>
      </c>
      <c r="C4963">
        <v>1</v>
      </c>
      <c r="D4963">
        <v>10237.128000000001</v>
      </c>
    </row>
    <row r="4964" spans="1:4">
      <c r="A4964" t="str">
        <f>"44011-VS40A"</f>
        <v>44011-VS40A</v>
      </c>
      <c r="B4964" t="str">
        <f>"Суппорт тормозной за"</f>
        <v>Суппорт тормозной за</v>
      </c>
      <c r="C4964">
        <v>3</v>
      </c>
      <c r="D4964">
        <v>13210.632</v>
      </c>
    </row>
    <row r="4965" spans="1:4">
      <c r="A4965" t="str">
        <f>"44011-ZD82A"</f>
        <v>44011-ZD82A</v>
      </c>
      <c r="B4965" t="str">
        <f>"Суппорт тормозно"</f>
        <v>Суппорт тормозно</v>
      </c>
      <c r="C4965">
        <v>2</v>
      </c>
      <c r="D4965">
        <v>10557.816000000001</v>
      </c>
    </row>
    <row r="4966" spans="1:4">
      <c r="A4966" t="str">
        <f>"44020-VC201"</f>
        <v>44020-VC201</v>
      </c>
      <c r="B4966" t="str">
        <f>"Кожух тормозного суп"</f>
        <v>Кожух тормозного суп</v>
      </c>
      <c r="C4966">
        <v>1</v>
      </c>
      <c r="D4966">
        <v>3419.4479999999999</v>
      </c>
    </row>
    <row r="4967" spans="1:4">
      <c r="A4967" t="str">
        <f>"44030-VC201"</f>
        <v>44030-VC201</v>
      </c>
      <c r="B4967" t="str">
        <f>"Кожух тормозного суп"</f>
        <v>Кожух тормозного суп</v>
      </c>
      <c r="C4967">
        <v>1</v>
      </c>
      <c r="D4967">
        <v>3919.6559999999999</v>
      </c>
    </row>
    <row r="4968" spans="1:4">
      <c r="A4968" t="str">
        <f>"44060-01JX5"</f>
        <v>44060-01JX5</v>
      </c>
      <c r="B4968" t="str">
        <f>"КОЛОДКИ ТОРМ"</f>
        <v>КОЛОДКИ ТОРМ</v>
      </c>
      <c r="C4968">
        <v>7</v>
      </c>
      <c r="D4968">
        <v>1384.3439999999998</v>
      </c>
    </row>
    <row r="4969" spans="1:4">
      <c r="A4969" t="str">
        <f>"44060-0F027"</f>
        <v>44060-0F027</v>
      </c>
      <c r="B4969" t="str">
        <f>"SHOE SET-REAR B"</f>
        <v>SHOE SET-REAR B</v>
      </c>
      <c r="C4969">
        <v>1</v>
      </c>
      <c r="D4969">
        <v>2597.7360000000003</v>
      </c>
    </row>
    <row r="4970" spans="1:4">
      <c r="A4970" t="str">
        <f>"44060-2U0X5"</f>
        <v>44060-2U0X5</v>
      </c>
      <c r="B4970" t="str">
        <f>"SHOE SET-REAR"</f>
        <v>SHOE SET-REAR</v>
      </c>
      <c r="C4970">
        <v>3</v>
      </c>
      <c r="D4970">
        <v>1479.816</v>
      </c>
    </row>
    <row r="4971" spans="1:4">
      <c r="A4971" t="str">
        <f>"44060-31UX2"</f>
        <v>44060-31UX2</v>
      </c>
      <c r="B4971" t="str">
        <f>"PAD KIT-DISC BR"</f>
        <v>PAD KIT-DISC BR</v>
      </c>
      <c r="C4971">
        <v>34</v>
      </c>
      <c r="D4971">
        <v>1753.1759999999999</v>
      </c>
    </row>
    <row r="4972" spans="1:4">
      <c r="A4972" t="str">
        <f>"44060-3Y590"</f>
        <v>44060-3Y590</v>
      </c>
      <c r="B4972" t="str">
        <f>"Колодки тормозные ди"</f>
        <v>Колодки тормозные ди</v>
      </c>
      <c r="C4972">
        <v>15</v>
      </c>
      <c r="D4972">
        <v>2181.1680000000001</v>
      </c>
    </row>
    <row r="4973" spans="1:4">
      <c r="A4973" t="str">
        <f>"44060-47LX6"</f>
        <v>44060-47LX6</v>
      </c>
      <c r="B4973" t="str">
        <f>"Колодки ручного торм"</f>
        <v>Колодки ручного торм</v>
      </c>
      <c r="C4973">
        <v>4</v>
      </c>
      <c r="D4973">
        <v>1799.28</v>
      </c>
    </row>
    <row r="4974" spans="1:4">
      <c r="A4974" t="str">
        <f>"44060-4N025"</f>
        <v>44060-4N025</v>
      </c>
      <c r="B4974" t="str">
        <f>"REAR SHOES"</f>
        <v>REAR SHOES</v>
      </c>
      <c r="C4974">
        <v>1</v>
      </c>
      <c r="D4974">
        <v>2468.4</v>
      </c>
    </row>
    <row r="4975" spans="1:4">
      <c r="A4975" t="str">
        <f>"44060-4U0X2"</f>
        <v>44060-4U0X2</v>
      </c>
      <c r="B4975" t="str">
        <f>"Колодки тормозные ди"</f>
        <v>Колодки тормозные ди</v>
      </c>
      <c r="C4975">
        <v>6</v>
      </c>
      <c r="D4975">
        <v>1704.2160000000001</v>
      </c>
    </row>
    <row r="4976" spans="1:4">
      <c r="A4976" t="str">
        <f>"44060-6F625"</f>
        <v>44060-6F625</v>
      </c>
      <c r="B4976" t="str">
        <f>"SHOE SET-REAR B"</f>
        <v>SHOE SET-REAR B</v>
      </c>
      <c r="C4976">
        <v>3</v>
      </c>
      <c r="D4976">
        <v>1756.848</v>
      </c>
    </row>
    <row r="4977" spans="1:4">
      <c r="A4977" t="str">
        <f>"44060-8H3X5"</f>
        <v>44060-8H3X5</v>
      </c>
      <c r="B4977" t="str">
        <f>"Колодки тормозные ди"</f>
        <v>Колодки тормозные ди</v>
      </c>
      <c r="C4977">
        <v>129</v>
      </c>
      <c r="D4977">
        <v>1724.2079999999999</v>
      </c>
    </row>
    <row r="4978" spans="1:4">
      <c r="A4978" t="str">
        <f>"44060-95F0B"</f>
        <v>44060-95F0B</v>
      </c>
      <c r="B4978" t="str">
        <f>"Колодки тормозные ба"</f>
        <v>Колодки тормозные ба</v>
      </c>
      <c r="C4978">
        <v>3</v>
      </c>
      <c r="D4978">
        <v>1818.864</v>
      </c>
    </row>
    <row r="4979" spans="1:4">
      <c r="A4979" t="str">
        <f>"44060-AA586"</f>
        <v>44060-AA586</v>
      </c>
      <c r="B4979" t="str">
        <f>"Колодки тормозные ди"</f>
        <v>Колодки тормозные ди</v>
      </c>
      <c r="C4979">
        <v>3</v>
      </c>
      <c r="D4979">
        <v>2075.0879999999997</v>
      </c>
    </row>
    <row r="4980" spans="1:4">
      <c r="A4980" t="str">
        <f>"44060-AX026"</f>
        <v>44060-AX026</v>
      </c>
      <c r="B4980" t="str">
        <f>"Колодки ручного торм"</f>
        <v>Колодки ручного торм</v>
      </c>
      <c r="C4980">
        <v>3</v>
      </c>
      <c r="D4980">
        <v>1894.3439999999998</v>
      </c>
    </row>
    <row r="4981" spans="1:4">
      <c r="A4981" t="str">
        <f>"44060-BA00F"</f>
        <v>44060-BA00F</v>
      </c>
      <c r="B4981" t="str">
        <f>"Колодки тормозные ди"</f>
        <v>Колодки тормозные ди</v>
      </c>
      <c r="C4981">
        <v>15</v>
      </c>
      <c r="D4981">
        <v>2016.7439999999997</v>
      </c>
    </row>
    <row r="4982" spans="1:4">
      <c r="A4982" t="str">
        <f>"44060-CY025"</f>
        <v>44060-CY025</v>
      </c>
      <c r="B4982" t="str">
        <f>"Колодки ручного торм"</f>
        <v>Колодки ручного торм</v>
      </c>
      <c r="C4982">
        <v>6</v>
      </c>
      <c r="D4982">
        <v>3192.1919999999996</v>
      </c>
    </row>
    <row r="4983" spans="1:4">
      <c r="A4983" t="str">
        <f>"44060-EA026"</f>
        <v>44060-EA026</v>
      </c>
      <c r="B4983" t="str">
        <f>"Колодки тормозные ди"</f>
        <v>Колодки тормозные ди</v>
      </c>
      <c r="C4983">
        <v>16</v>
      </c>
      <c r="D4983">
        <v>2804.5919999999996</v>
      </c>
    </row>
    <row r="4984" spans="1:4">
      <c r="A4984" t="str">
        <f>"44060-EB325"</f>
        <v>44060-EB325</v>
      </c>
      <c r="B4984" t="str">
        <f>"PAD KIT-DISC BR"</f>
        <v>PAD KIT-DISC BR</v>
      </c>
      <c r="C4984">
        <v>8</v>
      </c>
      <c r="D4984">
        <v>1813.9680000000001</v>
      </c>
    </row>
    <row r="4985" spans="1:4">
      <c r="A4985" t="str">
        <f>"44060-VC2X0"</f>
        <v>44060-VC2X0</v>
      </c>
      <c r="B4985" t="str">
        <f>"Колодки тормозные ди"</f>
        <v>Колодки тормозные ди</v>
      </c>
      <c r="C4985">
        <v>9</v>
      </c>
      <c r="D4985">
        <v>2181.1680000000001</v>
      </c>
    </row>
    <row r="4986" spans="1:4">
      <c r="A4986" t="str">
        <f>"44060-ZC026"</f>
        <v>44060-ZC026</v>
      </c>
      <c r="B4986" t="str">
        <f>"Колодки тормозные ди"</f>
        <v>Колодки тормозные ди</v>
      </c>
      <c r="C4986">
        <v>4</v>
      </c>
      <c r="D4986">
        <v>4220.76</v>
      </c>
    </row>
    <row r="4987" spans="1:4">
      <c r="A4987" t="str">
        <f>"44060-ZE00A"</f>
        <v>44060-ZE00A</v>
      </c>
      <c r="B4987" t="str">
        <f>"Колодки ручного торм"</f>
        <v>Колодки ручного торм</v>
      </c>
      <c r="C4987">
        <v>3</v>
      </c>
      <c r="D4987">
        <v>2539.7999999999997</v>
      </c>
    </row>
    <row r="4988" spans="1:4">
      <c r="A4988" t="str">
        <f>"44080-05J25"</f>
        <v>44080-05J25</v>
      </c>
      <c r="B4988" t="str">
        <f>"HARDWARE KIT-RE"</f>
        <v>HARDWARE KIT-RE</v>
      </c>
      <c r="C4988">
        <v>18</v>
      </c>
      <c r="D4988">
        <v>974.71199999999999</v>
      </c>
    </row>
    <row r="4989" spans="1:4">
      <c r="A4989" t="str">
        <f>"44080-2Y025"</f>
        <v>44080-2Y025</v>
      </c>
      <c r="B4989" t="str">
        <f>"HARDWARE KIT-RE"</f>
        <v>HARDWARE KIT-RE</v>
      </c>
      <c r="C4989">
        <v>1</v>
      </c>
      <c r="D4989">
        <v>1771.9439999999997</v>
      </c>
    </row>
    <row r="4990" spans="1:4">
      <c r="A4990" t="str">
        <f>"44080-8H325"</f>
        <v>44080-8H325</v>
      </c>
      <c r="B4990" t="str">
        <f>"HARDWARE KIT-RE"</f>
        <v>HARDWARE KIT-RE</v>
      </c>
      <c r="C4990">
        <v>16</v>
      </c>
      <c r="D4990">
        <v>2111.4</v>
      </c>
    </row>
    <row r="4991" spans="1:4">
      <c r="A4991" t="str">
        <f>"44080-8J125"</f>
        <v>44080-8J125</v>
      </c>
      <c r="B4991" t="str">
        <f>"Пластина тормозной к"</f>
        <v>Пластина тормозной к</v>
      </c>
      <c r="C4991">
        <v>1</v>
      </c>
      <c r="D4991">
        <v>1416.9839999999999</v>
      </c>
    </row>
    <row r="4992" spans="1:4">
      <c r="A4992" t="str">
        <f>"44080-CG025"</f>
        <v>44080-CG025</v>
      </c>
      <c r="B4992" t="str">
        <f>"HARDWARE KIT-RE"</f>
        <v>HARDWARE KIT-RE</v>
      </c>
      <c r="C4992">
        <v>0</v>
      </c>
      <c r="D4992">
        <v>1685.04</v>
      </c>
    </row>
    <row r="4993" spans="1:4">
      <c r="A4993" t="str">
        <f>"44080-VB225"</f>
        <v>44080-VB225</v>
      </c>
      <c r="B4993" t="str">
        <f>"HARDWARE KIT-RE"</f>
        <v>HARDWARE KIT-RE</v>
      </c>
      <c r="C4993">
        <v>13</v>
      </c>
      <c r="D4993">
        <v>1094.664</v>
      </c>
    </row>
    <row r="4994" spans="1:4">
      <c r="A4994" t="str">
        <f>"44080-VB226"</f>
        <v>44080-VB226</v>
      </c>
      <c r="B4994" t="str">
        <f>"Пластины тормозных к"</f>
        <v>Пластины тормозных к</v>
      </c>
      <c r="C4994">
        <v>4</v>
      </c>
      <c r="D4994">
        <v>1907.3999999999999</v>
      </c>
    </row>
    <row r="4995" spans="1:4">
      <c r="A4995" t="str">
        <f>"44080-VC225"</f>
        <v>44080-VC225</v>
      </c>
      <c r="B4995" t="str">
        <f>"Пластины тормозных к"</f>
        <v>Пластины тормозных к</v>
      </c>
      <c r="C4995">
        <v>2</v>
      </c>
      <c r="D4995">
        <v>2011.0319999999997</v>
      </c>
    </row>
    <row r="4996" spans="1:4">
      <c r="A4996" t="str">
        <f>"44080-ZP025"</f>
        <v>44080-ZP025</v>
      </c>
      <c r="B4996" t="str">
        <f>"Пластины колодок"</f>
        <v>Пластины колодок</v>
      </c>
      <c r="C4996">
        <v>28</v>
      </c>
      <c r="D4996">
        <v>2125.2719999999999</v>
      </c>
    </row>
    <row r="4997" spans="1:4">
      <c r="A4997" t="str">
        <f>"44081-7E61A"</f>
        <v>44081-7E61A</v>
      </c>
      <c r="B4997" t="str">
        <f>"Направляющая шпилька"</f>
        <v>Направляющая шпилька</v>
      </c>
      <c r="C4997">
        <v>0</v>
      </c>
      <c r="D4997">
        <v>25.704000000000001</v>
      </c>
    </row>
    <row r="4998" spans="1:4">
      <c r="A4998" t="str">
        <f>"44081-8H30A"</f>
        <v>44081-8H30A</v>
      </c>
      <c r="B4998" t="str">
        <f>"Направляющая шпилька"</f>
        <v>Направляющая шпилька</v>
      </c>
      <c r="C4998">
        <v>0</v>
      </c>
      <c r="D4998">
        <v>68.951999999999998</v>
      </c>
    </row>
    <row r="4999" spans="1:4">
      <c r="A4999" t="str">
        <f>"44081-8J01A"</f>
        <v>44081-8J01A</v>
      </c>
      <c r="B4999" t="str">
        <f>"Направляющая шпилька"</f>
        <v>Направляющая шпилька</v>
      </c>
      <c r="C4999">
        <v>9</v>
      </c>
      <c r="D4999">
        <v>34.68</v>
      </c>
    </row>
    <row r="5000" spans="1:4">
      <c r="A5000" t="str">
        <f>"44081-95F0A"</f>
        <v>44081-95F0A</v>
      </c>
      <c r="B5000" t="str">
        <f>"Направляющая шпилька"</f>
        <v>Направляющая шпилька</v>
      </c>
      <c r="C5000">
        <v>1</v>
      </c>
      <c r="D5000">
        <v>33.047999999999995</v>
      </c>
    </row>
    <row r="5001" spans="1:4">
      <c r="A5001" t="str">
        <f>"44081-9C026"</f>
        <v>44081-9C026</v>
      </c>
      <c r="B5001" t="str">
        <f>"RETAINER KIT-SP"</f>
        <v>RETAINER KIT-SP</v>
      </c>
      <c r="C5001">
        <v>6</v>
      </c>
      <c r="D5001">
        <v>283.96799999999996</v>
      </c>
    </row>
    <row r="5002" spans="1:4">
      <c r="A5002" t="str">
        <f>"44081-EB30A"</f>
        <v>44081-EB30A</v>
      </c>
      <c r="B5002" t="str">
        <f>"Направляющая шпилька"</f>
        <v>Направляющая шпилька</v>
      </c>
      <c r="C5002">
        <v>13</v>
      </c>
      <c r="D5002">
        <v>34.68</v>
      </c>
    </row>
    <row r="5003" spans="1:4">
      <c r="A5003" t="str">
        <f>"44082-U920A"</f>
        <v>44082-U920A</v>
      </c>
      <c r="B5003" t="str">
        <f>"Шайба стопорная"</f>
        <v>Шайба стопорная</v>
      </c>
      <c r="C5003">
        <v>28</v>
      </c>
      <c r="D5003">
        <v>58.343999999999994</v>
      </c>
    </row>
    <row r="5004" spans="1:4">
      <c r="A5004" t="str">
        <f>"44083-7E611"</f>
        <v>44083-7E611</v>
      </c>
      <c r="B5004" t="str">
        <f t="shared" ref="B5004:B5010" si="94">"Пружина тормозного м"</f>
        <v>Пружина тормозного м</v>
      </c>
      <c r="C5004">
        <v>1</v>
      </c>
      <c r="D5004">
        <v>53.856000000000002</v>
      </c>
    </row>
    <row r="5005" spans="1:4">
      <c r="A5005" t="str">
        <f>"44083-7E612"</f>
        <v>44083-7E612</v>
      </c>
      <c r="B5005" t="str">
        <f t="shared" si="94"/>
        <v>Пружина тормозного м</v>
      </c>
      <c r="C5005">
        <v>0</v>
      </c>
      <c r="D5005">
        <v>48.143999999999998</v>
      </c>
    </row>
    <row r="5006" spans="1:4">
      <c r="A5006" t="str">
        <f>"44083-7E61A"</f>
        <v>44083-7E61A</v>
      </c>
      <c r="B5006" t="str">
        <f t="shared" si="94"/>
        <v>Пружина тормозного м</v>
      </c>
      <c r="C5006">
        <v>0</v>
      </c>
      <c r="D5006">
        <v>55.895999999999994</v>
      </c>
    </row>
    <row r="5007" spans="1:4">
      <c r="A5007" t="str">
        <f>"44083-8H310"</f>
        <v>44083-8H310</v>
      </c>
      <c r="B5007" t="str">
        <f t="shared" si="94"/>
        <v>Пружина тормозного м</v>
      </c>
      <c r="C5007">
        <v>0</v>
      </c>
      <c r="D5007">
        <v>65.688000000000002</v>
      </c>
    </row>
    <row r="5008" spans="1:4">
      <c r="A5008" t="str">
        <f>"44083-8J010"</f>
        <v>44083-8J010</v>
      </c>
      <c r="B5008" t="str">
        <f t="shared" si="94"/>
        <v>Пружина тормозного м</v>
      </c>
      <c r="C5008">
        <v>4</v>
      </c>
      <c r="D5008">
        <v>62.831999999999994</v>
      </c>
    </row>
    <row r="5009" spans="1:4">
      <c r="A5009" t="str">
        <f>"44083-95F0A"</f>
        <v>44083-95F0A</v>
      </c>
      <c r="B5009" t="str">
        <f t="shared" si="94"/>
        <v>Пружина тормозного м</v>
      </c>
      <c r="C5009">
        <v>0</v>
      </c>
      <c r="D5009">
        <v>65.688000000000002</v>
      </c>
    </row>
    <row r="5010" spans="1:4">
      <c r="A5010" t="str">
        <f>"44083-EB30A"</f>
        <v>44083-EB30A</v>
      </c>
      <c r="B5010" t="str">
        <f t="shared" si="94"/>
        <v>Пружина тормозного м</v>
      </c>
      <c r="C5010">
        <v>0</v>
      </c>
      <c r="D5010">
        <v>71.808000000000007</v>
      </c>
    </row>
    <row r="5011" spans="1:4">
      <c r="A5011" t="str">
        <f>"44084-3F010"</f>
        <v>44084-3F010</v>
      </c>
      <c r="B5011" t="str">
        <f>"SHIM BRAKE REAR"</f>
        <v>SHIM BRAKE REAR</v>
      </c>
      <c r="C5011">
        <v>50</v>
      </c>
      <c r="D5011">
        <v>70.99199999999999</v>
      </c>
    </row>
    <row r="5012" spans="1:4">
      <c r="A5012" t="str">
        <f>"44084-8H30A"</f>
        <v>44084-8H30A</v>
      </c>
      <c r="B5012" t="str">
        <f>"Стопорная шайба торм"</f>
        <v>Стопорная шайба торм</v>
      </c>
      <c r="C5012">
        <v>16</v>
      </c>
      <c r="D5012">
        <v>32.64</v>
      </c>
    </row>
    <row r="5013" spans="1:4">
      <c r="A5013" t="str">
        <f>"44084-8J01A"</f>
        <v>44084-8J01A</v>
      </c>
      <c r="B5013" t="str">
        <f>"Шайба стопорная"</f>
        <v>Шайба стопорная</v>
      </c>
      <c r="C5013">
        <v>8</v>
      </c>
      <c r="D5013">
        <v>37.128</v>
      </c>
    </row>
    <row r="5014" spans="1:4">
      <c r="A5014" t="str">
        <f>"44084-95F0A"</f>
        <v>44084-95F0A</v>
      </c>
      <c r="B5014" t="str">
        <f>"Стопорная шайба торм"</f>
        <v>Стопорная шайба торм</v>
      </c>
      <c r="C5014">
        <v>6</v>
      </c>
      <c r="D5014">
        <v>39.575999999999993</v>
      </c>
    </row>
    <row r="5015" spans="1:4">
      <c r="A5015" t="str">
        <f>"44084-U920A"</f>
        <v>44084-U920A</v>
      </c>
      <c r="B5015" t="str">
        <f>"Шайба стопорная"</f>
        <v>Шайба стопорная</v>
      </c>
      <c r="C5015">
        <v>17</v>
      </c>
      <c r="D5015">
        <v>55.488</v>
      </c>
    </row>
    <row r="5016" spans="1:4">
      <c r="A5016" t="str">
        <f>"44090-0X825"</f>
        <v>44090-0X825</v>
      </c>
      <c r="B5016" t="str">
        <f>"SPRING KIT-RETU"</f>
        <v>SPRING KIT-RETU</v>
      </c>
      <c r="C5016">
        <v>0</v>
      </c>
      <c r="D5016">
        <v>727.87199999999996</v>
      </c>
    </row>
    <row r="5017" spans="1:4">
      <c r="A5017" t="str">
        <f>"44090-8H300"</f>
        <v>44090-8H300</v>
      </c>
      <c r="B5017" t="str">
        <f>"Пружинка механизма к"</f>
        <v>Пружинка механизма к</v>
      </c>
      <c r="C5017">
        <v>6</v>
      </c>
      <c r="D5017">
        <v>133.00800000000001</v>
      </c>
    </row>
    <row r="5018" spans="1:4">
      <c r="A5018" t="str">
        <f>"44090-95F0A"</f>
        <v>44090-95F0A</v>
      </c>
      <c r="B5018" t="str">
        <f>"Пружина тормозного м"</f>
        <v>Пружина тормозного м</v>
      </c>
      <c r="C5018">
        <v>12</v>
      </c>
      <c r="D5018">
        <v>128.11199999999999</v>
      </c>
    </row>
    <row r="5019" spans="1:4">
      <c r="A5019" t="str">
        <f>"44090-9C025"</f>
        <v>44090-9C025</v>
      </c>
      <c r="B5019" t="str">
        <f>"SPRING KIT-RETU"</f>
        <v>SPRING KIT-RETU</v>
      </c>
      <c r="C5019">
        <v>10</v>
      </c>
      <c r="D5019">
        <v>636.88800000000003</v>
      </c>
    </row>
    <row r="5020" spans="1:4">
      <c r="A5020" t="str">
        <f>"44090-AG010"</f>
        <v>44090-AG010</v>
      </c>
      <c r="B5020" t="str">
        <f>"Пружина тормозного м"</f>
        <v>Пружина тормозного м</v>
      </c>
      <c r="C5020">
        <v>11</v>
      </c>
      <c r="D5020">
        <v>126.88799999999999</v>
      </c>
    </row>
    <row r="5021" spans="1:4">
      <c r="A5021" t="str">
        <f>"44091-01A00"</f>
        <v>44091-01A00</v>
      </c>
      <c r="B5021" t="str">
        <f>"SPRING-RETURN R"</f>
        <v>SPRING-RETURN R</v>
      </c>
      <c r="C5021">
        <v>26</v>
      </c>
      <c r="D5021">
        <v>68.543999999999997</v>
      </c>
    </row>
    <row r="5022" spans="1:4">
      <c r="A5022" t="str">
        <f>"44091-8H300"</f>
        <v>44091-8H300</v>
      </c>
      <c r="B5022" t="str">
        <f>"Пружина тормозного м"</f>
        <v>Пружина тормозного м</v>
      </c>
      <c r="C5022">
        <v>0</v>
      </c>
      <c r="D5022">
        <v>129.744</v>
      </c>
    </row>
    <row r="5023" spans="1:4">
      <c r="A5023" t="str">
        <f>"44091-8J010"</f>
        <v>44091-8J010</v>
      </c>
      <c r="B5023" t="str">
        <f>"Пружина тормозного м"</f>
        <v>Пружина тормозного м</v>
      </c>
      <c r="C5023">
        <v>23</v>
      </c>
      <c r="D5023">
        <v>149.73599999999999</v>
      </c>
    </row>
    <row r="5024" spans="1:4">
      <c r="A5024" t="str">
        <f>"44091-8M100"</f>
        <v>44091-8M100</v>
      </c>
      <c r="B5024" t="str">
        <f>"Прушинка торм механи"</f>
        <v>Прушинка торм механи</v>
      </c>
      <c r="C5024">
        <v>0</v>
      </c>
      <c r="D5024">
        <v>87.311999999999998</v>
      </c>
    </row>
    <row r="5025" spans="1:4">
      <c r="A5025" t="str">
        <f>"44100-3J310"</f>
        <v>44100-3J310</v>
      </c>
      <c r="B5025" t="str">
        <f>"CYLINDER ASSY-R"</f>
        <v>CYLINDER ASSY-R</v>
      </c>
      <c r="C5025">
        <v>2</v>
      </c>
      <c r="D5025">
        <v>2268.48</v>
      </c>
    </row>
    <row r="5026" spans="1:4">
      <c r="A5026" t="str">
        <f>"44100-3T011"</f>
        <v>44100-3T011</v>
      </c>
      <c r="B5026" t="str">
        <f>"CYLINDER ASSY-R"</f>
        <v>CYLINDER ASSY-R</v>
      </c>
      <c r="C5026">
        <v>4</v>
      </c>
      <c r="D5026">
        <v>2258.6880000000001</v>
      </c>
    </row>
    <row r="5027" spans="1:4">
      <c r="A5027" t="str">
        <f>"44100-3W40A"</f>
        <v>44100-3W40A</v>
      </c>
      <c r="B5027" t="str">
        <f>"Циллиндр тормозной з"</f>
        <v>Циллиндр тормозной з</v>
      </c>
      <c r="C5027">
        <v>2</v>
      </c>
      <c r="D5027">
        <v>1606.704</v>
      </c>
    </row>
    <row r="5028" spans="1:4">
      <c r="A5028" t="str">
        <f>"44100-50C12"</f>
        <v>44100-50C12</v>
      </c>
      <c r="B5028" t="str">
        <f>"CYL A-RR WHEEL"</f>
        <v>CYL A-RR WHEEL</v>
      </c>
      <c r="C5028">
        <v>2</v>
      </c>
      <c r="D5028">
        <v>1644.6479999999999</v>
      </c>
    </row>
    <row r="5029" spans="1:4">
      <c r="A5029" t="str">
        <f>"44100-6F611"</f>
        <v>44100-6F611</v>
      </c>
      <c r="B5029" t="str">
        <f>"CYLINDER ASSY-R"</f>
        <v>CYLINDER ASSY-R</v>
      </c>
      <c r="C5029">
        <v>6</v>
      </c>
      <c r="D5029">
        <v>1031.0159999999998</v>
      </c>
    </row>
    <row r="5030" spans="1:4">
      <c r="A5030" t="str">
        <f>"44100-7E611"</f>
        <v>44100-7E611</v>
      </c>
      <c r="B5030" t="str">
        <f>"CYL A-RR WHEEL"</f>
        <v>CYL A-RR WHEEL</v>
      </c>
      <c r="C5030">
        <v>1</v>
      </c>
      <c r="D5030">
        <v>1414.1279999999999</v>
      </c>
    </row>
    <row r="5031" spans="1:4">
      <c r="A5031" t="str">
        <f>"44100-7F000"</f>
        <v>44100-7F000</v>
      </c>
      <c r="B5031" t="str">
        <f>"CYLINDER ASSY-R"</f>
        <v>CYLINDER ASSY-R</v>
      </c>
      <c r="C5031">
        <v>4</v>
      </c>
      <c r="D5031">
        <v>1995.9359999999999</v>
      </c>
    </row>
    <row r="5032" spans="1:4">
      <c r="A5032" t="str">
        <f>"44100-7F001"</f>
        <v>44100-7F001</v>
      </c>
      <c r="B5032" t="str">
        <f>"CYLINDER ASSY-R"</f>
        <v>CYLINDER ASSY-R</v>
      </c>
      <c r="C5032">
        <v>3</v>
      </c>
      <c r="D5032">
        <v>2032.2479999999998</v>
      </c>
    </row>
    <row r="5033" spans="1:4">
      <c r="A5033" t="str">
        <f>"44100-95F0A"</f>
        <v>44100-95F0A</v>
      </c>
      <c r="B5033" t="str">
        <f>"Циллиндр тормозной з"</f>
        <v>Циллиндр тормозной з</v>
      </c>
      <c r="C5033">
        <v>0</v>
      </c>
      <c r="D5033">
        <v>1861.704</v>
      </c>
    </row>
    <row r="5034" spans="1:4">
      <c r="A5034" t="str">
        <f>"44100-AE000"</f>
        <v>44100-AE000</v>
      </c>
      <c r="B5034" t="str">
        <f>"Циллиндр тормозной з"</f>
        <v>Циллиндр тормозной з</v>
      </c>
      <c r="C5034">
        <v>0</v>
      </c>
      <c r="D5034">
        <v>2115.48</v>
      </c>
    </row>
    <row r="5035" spans="1:4">
      <c r="A5035" t="str">
        <f>"44100-EB30A"</f>
        <v>44100-EB30A</v>
      </c>
      <c r="B5035" t="str">
        <f>"Циллиндр тормозной з"</f>
        <v>Циллиндр тормозной з</v>
      </c>
      <c r="C5035">
        <v>0</v>
      </c>
      <c r="D5035">
        <v>2006.5439999999999</v>
      </c>
    </row>
    <row r="5036" spans="1:4">
      <c r="A5036" t="str">
        <f>"44100-VC210"</f>
        <v>44100-VC210</v>
      </c>
      <c r="B5036" t="str">
        <f>"Циллиндр тормозной з"</f>
        <v>Циллиндр тормозной з</v>
      </c>
      <c r="C5036">
        <v>4</v>
      </c>
      <c r="D5036">
        <v>2433.7199999999998</v>
      </c>
    </row>
    <row r="5037" spans="1:4">
      <c r="A5037" t="str">
        <f>"44120-05J25"</f>
        <v>44120-05J25</v>
      </c>
      <c r="B5037" t="str">
        <f>"SEAL KIT-DISC"</f>
        <v>SEAL KIT-DISC</v>
      </c>
      <c r="C5037">
        <v>2</v>
      </c>
      <c r="D5037">
        <v>2254.1999999999998</v>
      </c>
    </row>
    <row r="5038" spans="1:4">
      <c r="A5038" t="str">
        <f>"44120-32G25"</f>
        <v>44120-32G25</v>
      </c>
      <c r="B5038" t="str">
        <f>"SEAL KIT-DISC"</f>
        <v>SEAL KIT-DISC</v>
      </c>
      <c r="C5038">
        <v>1</v>
      </c>
      <c r="D5038">
        <v>1469.2079999999999</v>
      </c>
    </row>
    <row r="5039" spans="1:4">
      <c r="A5039" t="str">
        <f>"44120-3Y525"</f>
        <v>44120-3Y525</v>
      </c>
      <c r="B5039" t="str">
        <f>"SEAL KIT-DISC"</f>
        <v>SEAL KIT-DISC</v>
      </c>
      <c r="C5039">
        <v>8</v>
      </c>
      <c r="D5039">
        <v>1233.7920000000001</v>
      </c>
    </row>
    <row r="5040" spans="1:4">
      <c r="A5040" t="str">
        <f>"44120-61E26"</f>
        <v>44120-61E26</v>
      </c>
      <c r="B5040" t="str">
        <f>"SEAL KIT-DISC"</f>
        <v>SEAL KIT-DISC</v>
      </c>
      <c r="C5040">
        <v>21</v>
      </c>
      <c r="D5040">
        <v>2005.7280000000001</v>
      </c>
    </row>
    <row r="5041" spans="1:4">
      <c r="A5041" t="str">
        <f>"44120-6J026"</f>
        <v>44120-6J026</v>
      </c>
      <c r="B5041" t="str">
        <f>"SEAL KIT-DISC"</f>
        <v>SEAL KIT-DISC</v>
      </c>
      <c r="C5041">
        <v>21</v>
      </c>
      <c r="D5041">
        <v>1560.192</v>
      </c>
    </row>
    <row r="5042" spans="1:4">
      <c r="A5042" t="str">
        <f>"44120-71J25"</f>
        <v>44120-71J25</v>
      </c>
      <c r="B5042" t="str">
        <f>"SEAL KIT-DISC B"</f>
        <v>SEAL KIT-DISC B</v>
      </c>
      <c r="C5042">
        <v>4</v>
      </c>
      <c r="D5042">
        <v>2357.424</v>
      </c>
    </row>
    <row r="5043" spans="1:4">
      <c r="A5043" t="str">
        <f>"44120-7S025"</f>
        <v>44120-7S025</v>
      </c>
      <c r="B5043" t="str">
        <f>"К-т сальников (10шт)"</f>
        <v>К-т сальников (10шт)</v>
      </c>
      <c r="C5043">
        <v>8</v>
      </c>
      <c r="D5043">
        <v>1132.6079999999999</v>
      </c>
    </row>
    <row r="5044" spans="1:4">
      <c r="A5044" t="str">
        <f>"44120-8J126"</f>
        <v>44120-8J126</v>
      </c>
      <c r="B5044" t="str">
        <f>"К-т сальников (14шт)"</f>
        <v>К-т сальников (14шт)</v>
      </c>
      <c r="C5044">
        <v>1</v>
      </c>
      <c r="D5044">
        <v>1508.7839999999999</v>
      </c>
    </row>
    <row r="5045" spans="1:4">
      <c r="A5045" t="str">
        <f>"44120-8J127"</f>
        <v>44120-8J127</v>
      </c>
      <c r="B5045" t="str">
        <f>"К-т сальников (14шт)"</f>
        <v>К-т сальников (14шт)</v>
      </c>
      <c r="C5045">
        <v>13</v>
      </c>
      <c r="D5045">
        <v>1353.7439999999999</v>
      </c>
    </row>
    <row r="5046" spans="1:4">
      <c r="A5046" t="str">
        <f>"44120-EA026"</f>
        <v>44120-EA026</v>
      </c>
      <c r="B5046" t="str">
        <f>"Сальники тормозного "</f>
        <v xml:space="preserve">Сальники тормозного </v>
      </c>
      <c r="C5046">
        <v>2</v>
      </c>
      <c r="D5046">
        <v>1491.24</v>
      </c>
    </row>
    <row r="5047" spans="1:4">
      <c r="A5047" t="str">
        <f>"44120-N9528"</f>
        <v>44120-N9528</v>
      </c>
      <c r="B5047" t="str">
        <f>"SEAL KIT-DISC"</f>
        <v>SEAL KIT-DISC</v>
      </c>
      <c r="C5047">
        <v>3</v>
      </c>
      <c r="D5047">
        <v>2585.4959999999996</v>
      </c>
    </row>
    <row r="5048" spans="1:4">
      <c r="A5048" t="str">
        <f>"44120-VC025"</f>
        <v>44120-VC025</v>
      </c>
      <c r="B5048" t="str">
        <f>"SEAL KIT-DISC"</f>
        <v>SEAL KIT-DISC</v>
      </c>
      <c r="C5048">
        <v>12</v>
      </c>
      <c r="D5048">
        <v>2415.768</v>
      </c>
    </row>
    <row r="5049" spans="1:4">
      <c r="A5049" t="str">
        <f>"44120-VC225"</f>
        <v>44120-VC225</v>
      </c>
      <c r="B5049" t="str">
        <f>"SEAL KIT-DISC"</f>
        <v>SEAL KIT-DISC</v>
      </c>
      <c r="C5049">
        <v>10</v>
      </c>
      <c r="D5049">
        <v>1494.912</v>
      </c>
    </row>
    <row r="5050" spans="1:4">
      <c r="A5050" t="str">
        <f>"44123-2F500"</f>
        <v>44123-2F500</v>
      </c>
      <c r="B5050" t="str">
        <f>"PISTON"</f>
        <v>PISTON</v>
      </c>
      <c r="C5050">
        <v>5</v>
      </c>
      <c r="D5050">
        <v>2949.0239999999999</v>
      </c>
    </row>
    <row r="5051" spans="1:4">
      <c r="A5051" t="str">
        <f>"44123-3Y501"</f>
        <v>44123-3Y501</v>
      </c>
      <c r="B5051" t="str">
        <f>"PISTON"</f>
        <v>PISTON</v>
      </c>
      <c r="C5051">
        <v>0</v>
      </c>
      <c r="D5051">
        <v>3014.3040000000001</v>
      </c>
    </row>
    <row r="5052" spans="1:4">
      <c r="A5052" t="str">
        <f>"44123-61E00"</f>
        <v>44123-61E00</v>
      </c>
      <c r="B5052" t="str">
        <f>"PISTON"</f>
        <v>PISTON</v>
      </c>
      <c r="C5052">
        <v>4</v>
      </c>
      <c r="D5052">
        <v>2704.2239999999997</v>
      </c>
    </row>
    <row r="5053" spans="1:4">
      <c r="A5053" t="str">
        <f>"44123-N9502"</f>
        <v>44123-N9502</v>
      </c>
      <c r="B5053" t="str">
        <f>"PISTON"</f>
        <v>PISTON</v>
      </c>
      <c r="C5053">
        <v>3</v>
      </c>
      <c r="D5053">
        <v>2783.7840000000001</v>
      </c>
    </row>
    <row r="5054" spans="1:4">
      <c r="A5054" t="str">
        <f>"44126-7S000"</f>
        <v>44126-7S000</v>
      </c>
      <c r="B5054" t="str">
        <f>"Поршень тормозного ц"</f>
        <v>Поршень тормозного ц</v>
      </c>
      <c r="C5054">
        <v>13</v>
      </c>
      <c r="D5054">
        <v>700.53599999999994</v>
      </c>
    </row>
    <row r="5055" spans="1:4">
      <c r="A5055" t="str">
        <f>"44126-8J100"</f>
        <v>44126-8J100</v>
      </c>
      <c r="B5055" t="str">
        <f>"Поршень тормозного ц"</f>
        <v>Поршень тормозного ц</v>
      </c>
      <c r="C5055">
        <v>4</v>
      </c>
      <c r="D5055">
        <v>2156.6880000000001</v>
      </c>
    </row>
    <row r="5056" spans="1:4">
      <c r="A5056" t="str">
        <f>"44126-AL500"</f>
        <v>44126-AL500</v>
      </c>
      <c r="B5056" t="str">
        <f>"Поршень тормозного ц"</f>
        <v>Поршень тормозного ц</v>
      </c>
      <c r="C5056">
        <v>13</v>
      </c>
      <c r="D5056">
        <v>1611.192</v>
      </c>
    </row>
    <row r="5057" spans="1:4">
      <c r="A5057" t="str">
        <f>"44126-EA000"</f>
        <v>44126-EA000</v>
      </c>
      <c r="B5057" t="str">
        <f>"Поршень тормозного с"</f>
        <v>Поршень тормозного с</v>
      </c>
      <c r="C5057">
        <v>0</v>
      </c>
      <c r="D5057">
        <v>1747.8719999999998</v>
      </c>
    </row>
    <row r="5058" spans="1:4">
      <c r="A5058" t="str">
        <f>"44127-9C126"</f>
        <v>44127-9C126</v>
      </c>
      <c r="B5058" t="str">
        <f>"SEAL KIT-DISC B"</f>
        <v>SEAL KIT-DISC B</v>
      </c>
      <c r="C5058">
        <v>13</v>
      </c>
      <c r="D5058">
        <v>1991.04</v>
      </c>
    </row>
    <row r="5059" spans="1:4">
      <c r="A5059" t="str">
        <f>"44135-7S025"</f>
        <v>44135-7S025</v>
      </c>
      <c r="B5059" t="str">
        <f>"Ремонтный к-т (напр."</f>
        <v>Ремонтный к-т (напр.</v>
      </c>
      <c r="C5059">
        <v>4</v>
      </c>
      <c r="D5059">
        <v>633.62399999999991</v>
      </c>
    </row>
    <row r="5060" spans="1:4">
      <c r="A5060" t="str">
        <f>"44135-95F0A"</f>
        <v>44135-95F0A</v>
      </c>
      <c r="B5060" t="str">
        <f>"Стопорное кольцо тор"</f>
        <v>Стопорное кольцо тор</v>
      </c>
      <c r="C5060">
        <v>10</v>
      </c>
      <c r="D5060">
        <v>26.928000000000001</v>
      </c>
    </row>
    <row r="5061" spans="1:4">
      <c r="A5061" t="str">
        <f>"44135-9C126"</f>
        <v>44135-9C126</v>
      </c>
      <c r="B5061" t="str">
        <f>"SEAL KIT-DISC B"</f>
        <v>SEAL KIT-DISC B</v>
      </c>
      <c r="C5061">
        <v>8</v>
      </c>
      <c r="D5061">
        <v>1312.9439999999997</v>
      </c>
    </row>
    <row r="5062" spans="1:4">
      <c r="A5062" t="str">
        <f>"44139-5Y50A"</f>
        <v>44139-5Y50A</v>
      </c>
      <c r="B5062" t="str">
        <f>"Направляющий палец с"</f>
        <v>Направляющий палец с</v>
      </c>
      <c r="C5062">
        <v>2</v>
      </c>
      <c r="D5062">
        <v>345.98399999999998</v>
      </c>
    </row>
    <row r="5063" spans="1:4">
      <c r="A5063" t="str">
        <f>"44139-EB30A"</f>
        <v>44139-EB30A</v>
      </c>
      <c r="B5063" t="str">
        <f>"Направляющий палец с"</f>
        <v>Направляющий палец с</v>
      </c>
      <c r="C5063">
        <v>20</v>
      </c>
      <c r="D5063">
        <v>377.80799999999994</v>
      </c>
    </row>
    <row r="5064" spans="1:4">
      <c r="A5064" t="str">
        <f>"44139-ZP40A"</f>
        <v>44139-ZP40A</v>
      </c>
      <c r="B5064" t="str">
        <f>"Направляющий палец с"</f>
        <v>Направляющий палец с</v>
      </c>
      <c r="C5064">
        <v>12</v>
      </c>
      <c r="D5064">
        <v>111.38399999999999</v>
      </c>
    </row>
    <row r="5065" spans="1:4">
      <c r="A5065" t="str">
        <f>"44140-0V700"</f>
        <v>44140-0V700</v>
      </c>
      <c r="B5065" t="str">
        <f>"Направляющий палец с"</f>
        <v>Направляющий палец с</v>
      </c>
      <c r="C5065">
        <v>0</v>
      </c>
      <c r="D5065">
        <v>249.696</v>
      </c>
    </row>
    <row r="5066" spans="1:4">
      <c r="A5066" t="str">
        <f>"44140-70J25"</f>
        <v>44140-70J25</v>
      </c>
      <c r="B5066" t="str">
        <f>"PIN-SLIDE"</f>
        <v>PIN-SLIDE</v>
      </c>
      <c r="C5066">
        <v>0</v>
      </c>
      <c r="D5066">
        <v>448.8</v>
      </c>
    </row>
    <row r="5067" spans="1:4">
      <c r="A5067" t="str">
        <f>"44140-EA000"</f>
        <v>44140-EA000</v>
      </c>
      <c r="B5067" t="str">
        <f>"Направляющий палец с"</f>
        <v>Направляющий палец с</v>
      </c>
      <c r="C5067">
        <v>18</v>
      </c>
      <c r="D5067">
        <v>353.32799999999997</v>
      </c>
    </row>
    <row r="5068" spans="1:4">
      <c r="A5068" t="str">
        <f>"44140-EJ20A"</f>
        <v>44140-EJ20A</v>
      </c>
      <c r="B5068" t="str">
        <f>"Направляющий палец с"</f>
        <v>Направляющий палец с</v>
      </c>
      <c r="C5068">
        <v>28</v>
      </c>
      <c r="D5068">
        <v>427.99200000000002</v>
      </c>
    </row>
    <row r="5069" spans="1:4">
      <c r="A5069" t="str">
        <f>"44140-JA00A"</f>
        <v>44140-JA00A</v>
      </c>
      <c r="B5069" t="str">
        <f>"Палец направляющ"</f>
        <v>Палец направляющ</v>
      </c>
      <c r="C5069">
        <v>12</v>
      </c>
      <c r="D5069">
        <v>269.68799999999999</v>
      </c>
    </row>
    <row r="5070" spans="1:4">
      <c r="A5070" t="str">
        <f>"44140-JA01A"</f>
        <v>44140-JA01A</v>
      </c>
      <c r="B5070" t="str">
        <f>"Направляющий палец с"</f>
        <v>Направляющий палец с</v>
      </c>
      <c r="C5070">
        <v>133</v>
      </c>
      <c r="D5070">
        <v>350.47199999999998</v>
      </c>
    </row>
    <row r="5071" spans="1:4">
      <c r="A5071" t="str">
        <f>"44140-N9500"</f>
        <v>44140-N9500</v>
      </c>
      <c r="B5071" t="str">
        <f>"PIN"</f>
        <v>PIN</v>
      </c>
      <c r="C5071">
        <v>0</v>
      </c>
      <c r="D5071">
        <v>354.14400000000001</v>
      </c>
    </row>
    <row r="5072" spans="1:4">
      <c r="A5072" t="str">
        <f>"44140-VB200"</f>
        <v>44140-VB200</v>
      </c>
      <c r="B5072" t="str">
        <f>"PIN"</f>
        <v>PIN</v>
      </c>
      <c r="C5072">
        <v>3</v>
      </c>
      <c r="D5072">
        <v>425.54399999999998</v>
      </c>
    </row>
    <row r="5073" spans="1:4">
      <c r="A5073" t="str">
        <f>"44141-AW70A"</f>
        <v>44141-AW70A</v>
      </c>
      <c r="B5073" t="str">
        <f>"Болт направляющего п"</f>
        <v>Болт направляющего п</v>
      </c>
      <c r="C5073">
        <v>22</v>
      </c>
      <c r="D5073">
        <v>104.44800000000001</v>
      </c>
    </row>
    <row r="5074" spans="1:4">
      <c r="A5074" t="str">
        <f>"44141-JA01A"</f>
        <v>44141-JA01A</v>
      </c>
      <c r="B5074" t="str">
        <f>"Болт направляющего п"</f>
        <v>Болт направляющего п</v>
      </c>
      <c r="C5074">
        <v>166</v>
      </c>
      <c r="D5074">
        <v>155.04</v>
      </c>
    </row>
    <row r="5075" spans="1:4">
      <c r="A5075" t="str">
        <f>"44150-VB000"</f>
        <v>44150-VB000</v>
      </c>
      <c r="B5075" t="str">
        <f>"PLATE-BAFFLE"</f>
        <v>PLATE-BAFFLE</v>
      </c>
      <c r="C5075">
        <v>0</v>
      </c>
      <c r="D5075">
        <v>1035.096</v>
      </c>
    </row>
    <row r="5076" spans="1:4">
      <c r="A5076" t="str">
        <f>"44186-AV700"</f>
        <v>44186-AV700</v>
      </c>
      <c r="B5076" t="str">
        <f>"RETAINER-SPRING"</f>
        <v>RETAINER-SPRING</v>
      </c>
      <c r="C5076">
        <v>0</v>
      </c>
      <c r="D5076">
        <v>146.06399999999999</v>
      </c>
    </row>
    <row r="5077" spans="1:4">
      <c r="A5077" t="str">
        <f>"44200-7C325"</f>
        <v>44200-7C325</v>
      </c>
      <c r="B5077" t="str">
        <f>"ADJUSTER ASSY-R"</f>
        <v>ADJUSTER ASSY-R</v>
      </c>
      <c r="C5077">
        <v>4</v>
      </c>
      <c r="D5077">
        <v>2496.1439999999998</v>
      </c>
    </row>
    <row r="5078" spans="1:4">
      <c r="A5078" t="str">
        <f>"44200-8H30A"</f>
        <v>44200-8H30A</v>
      </c>
      <c r="B5078" t="str">
        <f>"Кронштейн колодок ру"</f>
        <v>Кронштейн колодок ру</v>
      </c>
      <c r="C5078">
        <v>0</v>
      </c>
      <c r="D5078">
        <v>479.80799999999994</v>
      </c>
    </row>
    <row r="5079" spans="1:4">
      <c r="A5079" t="str">
        <f>"44200-95F0A"</f>
        <v>44200-95F0A</v>
      </c>
      <c r="B5079" t="str">
        <f>"Кронштейн колодок ру"</f>
        <v>Кронштейн колодок ру</v>
      </c>
      <c r="C5079">
        <v>11</v>
      </c>
      <c r="D5079">
        <v>1790.3040000000001</v>
      </c>
    </row>
    <row r="5080" spans="1:4">
      <c r="A5080" t="str">
        <f>"44200-BH00A"</f>
        <v>44200-BH00A</v>
      </c>
      <c r="B5080" t="str">
        <f>"Тяга тормозного меха"</f>
        <v>Тяга тормозного меха</v>
      </c>
      <c r="C5080">
        <v>0</v>
      </c>
      <c r="D5080">
        <v>2408.424</v>
      </c>
    </row>
    <row r="5081" spans="1:4">
      <c r="A5081" t="str">
        <f>"44201-7C325"</f>
        <v>44201-7C325</v>
      </c>
      <c r="B5081" t="str">
        <f>"ADJUSTER ASSY-R"</f>
        <v>ADJUSTER ASSY-R</v>
      </c>
      <c r="C5081">
        <v>3</v>
      </c>
      <c r="D5081">
        <v>2425.152</v>
      </c>
    </row>
    <row r="5082" spans="1:4">
      <c r="A5082" t="str">
        <f>"44201-95F0A"</f>
        <v>44201-95F0A</v>
      </c>
      <c r="B5082" t="str">
        <f>"Тяга тормозного меха"</f>
        <v>Тяга тормозного меха</v>
      </c>
      <c r="C5082">
        <v>0</v>
      </c>
      <c r="D5082">
        <v>1789.896</v>
      </c>
    </row>
    <row r="5083" spans="1:4">
      <c r="A5083" t="str">
        <f>"44214-7E610"</f>
        <v>44214-7E610</v>
      </c>
      <c r="B5083" t="str">
        <f>"Пружина тормозных ко"</f>
        <v>Пружина тормозных ко</v>
      </c>
      <c r="C5083">
        <v>9</v>
      </c>
      <c r="D5083">
        <v>84.86399999999999</v>
      </c>
    </row>
    <row r="5084" spans="1:4">
      <c r="A5084" t="str">
        <f>"44217-JL00A"</f>
        <v>44217-JL00A</v>
      </c>
      <c r="B5084" t="str">
        <f>"Палец направлющий ко"</f>
        <v>Палец направлющий ко</v>
      </c>
      <c r="C5084">
        <v>38</v>
      </c>
      <c r="D5084">
        <v>242.352</v>
      </c>
    </row>
    <row r="5085" spans="1:4">
      <c r="A5085" t="str">
        <f>"46010-3Y62A"</f>
        <v>46010-3Y62A</v>
      </c>
      <c r="B5085" t="str">
        <f>"Циллиндр тормозной г"</f>
        <v>Циллиндр тормозной г</v>
      </c>
      <c r="C5085">
        <v>8</v>
      </c>
      <c r="D5085">
        <v>6071.8559999999998</v>
      </c>
    </row>
    <row r="5086" spans="1:4">
      <c r="A5086" t="str">
        <f>"46010-41U10"</f>
        <v>46010-41U10</v>
      </c>
      <c r="B5086" t="str">
        <f>"CYLINDER ASSY"</f>
        <v>CYLINDER ASSY</v>
      </c>
      <c r="C5086">
        <v>0</v>
      </c>
      <c r="D5086">
        <v>5908.6559999999999</v>
      </c>
    </row>
    <row r="5087" spans="1:4">
      <c r="A5087" t="str">
        <f>"46010-42G10"</f>
        <v>46010-42G10</v>
      </c>
      <c r="B5087" t="str">
        <f>"CYLINDER ASSY"</f>
        <v>CYLINDER ASSY</v>
      </c>
      <c r="C5087">
        <v>2</v>
      </c>
      <c r="D5087">
        <v>6136.3200000000006</v>
      </c>
    </row>
    <row r="5088" spans="1:4">
      <c r="A5088" t="str">
        <f>"46010-4X026"</f>
        <v>46010-4X026</v>
      </c>
      <c r="B5088" t="str">
        <f>"Циллиндр тормозной г"</f>
        <v>Циллиндр тормозной г</v>
      </c>
      <c r="C5088">
        <v>0</v>
      </c>
      <c r="D5088">
        <v>9438.6720000000005</v>
      </c>
    </row>
    <row r="5089" spans="1:4">
      <c r="A5089" t="str">
        <f>"46010-95F0C"</f>
        <v>46010-95F0C</v>
      </c>
      <c r="B5089" t="str">
        <f>"Циллиндр тормозной г"</f>
        <v>Циллиндр тормозной г</v>
      </c>
      <c r="C5089">
        <v>9</v>
      </c>
      <c r="D5089">
        <v>5733.6240000000007</v>
      </c>
    </row>
    <row r="5090" spans="1:4">
      <c r="A5090" t="str">
        <f>"46010-95F0D"</f>
        <v>46010-95F0D</v>
      </c>
      <c r="B5090" t="str">
        <f>"Циллиндр тормозной г"</f>
        <v>Циллиндр тормозной г</v>
      </c>
      <c r="C5090">
        <v>3</v>
      </c>
      <c r="D5090">
        <v>5414.16</v>
      </c>
    </row>
    <row r="5091" spans="1:4">
      <c r="A5091" t="str">
        <f>"46010-EB326"</f>
        <v>46010-EB326</v>
      </c>
      <c r="B5091" t="str">
        <f>"Цилиндр тормозной гл"</f>
        <v>Цилиндр тормозной гл</v>
      </c>
      <c r="C5091">
        <v>0</v>
      </c>
      <c r="D5091">
        <v>6483.5279999999993</v>
      </c>
    </row>
    <row r="5092" spans="1:4">
      <c r="A5092" t="str">
        <f>"46010-VS41B"</f>
        <v>46010-VS41B</v>
      </c>
      <c r="B5092" t="str">
        <f>"Цилиндр тормозной гл"</f>
        <v>Цилиндр тормозной гл</v>
      </c>
      <c r="C5092">
        <v>9</v>
      </c>
      <c r="D5092">
        <v>6087.36</v>
      </c>
    </row>
    <row r="5093" spans="1:4">
      <c r="A5093" t="str">
        <f>"46020-64J23"</f>
        <v>46020-64J23</v>
      </c>
      <c r="B5093" t="str">
        <f>"CAP ASSY-OIL"</f>
        <v>CAP ASSY-OIL</v>
      </c>
      <c r="C5093">
        <v>0</v>
      </c>
      <c r="D5093">
        <v>472.464</v>
      </c>
    </row>
    <row r="5094" spans="1:4">
      <c r="A5094" t="str">
        <f>"46020-AL500"</f>
        <v>46020-AL500</v>
      </c>
      <c r="B5094" t="str">
        <f>"Крышка бочка главног"</f>
        <v>Крышка бочка главног</v>
      </c>
      <c r="C5094">
        <v>1</v>
      </c>
      <c r="D5094">
        <v>463.89599999999996</v>
      </c>
    </row>
    <row r="5095" spans="1:4">
      <c r="A5095" t="str">
        <f>"46045-W1010"</f>
        <v>46045-W1010</v>
      </c>
      <c r="B5095" t="str">
        <f>"SEAL-RESERVOIR"</f>
        <v>SEAL-RESERVOIR</v>
      </c>
      <c r="C5095">
        <v>0</v>
      </c>
      <c r="D5095">
        <v>82.416000000000011</v>
      </c>
    </row>
    <row r="5096" spans="1:4">
      <c r="A5096" t="str">
        <f>"46045-W1300"</f>
        <v>46045-W1300</v>
      </c>
      <c r="B5096" t="str">
        <f>"SEAL-RESERVOIR"</f>
        <v>SEAL-RESERVOIR</v>
      </c>
      <c r="C5096">
        <v>7</v>
      </c>
      <c r="D5096">
        <v>155.04</v>
      </c>
    </row>
    <row r="5097" spans="1:4">
      <c r="A5097" t="str">
        <f>"46062-P6500"</f>
        <v>46062-P6500</v>
      </c>
      <c r="B5097" t="str">
        <f>"КОЛЬЦО ПРУЖ"</f>
        <v>КОЛЬЦО ПРУЖ</v>
      </c>
      <c r="C5097">
        <v>2</v>
      </c>
      <c r="D5097">
        <v>73.031999999999996</v>
      </c>
    </row>
    <row r="5098" spans="1:4">
      <c r="A5098" t="str">
        <f>"46090-95F0A"</f>
        <v>46090-95F0A</v>
      </c>
      <c r="B5098" t="str">
        <f>"Бачок масляный"</f>
        <v>Бачок масляный</v>
      </c>
      <c r="C5098">
        <v>7</v>
      </c>
      <c r="D5098">
        <v>1637.712</v>
      </c>
    </row>
    <row r="5099" spans="1:4">
      <c r="A5099" t="str">
        <f>"46206-2J00A"</f>
        <v>46206-2J00A</v>
      </c>
      <c r="B5099" t="str">
        <f>"Пружина стопорная то"</f>
        <v>Пружина стопорная то</v>
      </c>
      <c r="C5099">
        <v>20</v>
      </c>
      <c r="D5099">
        <v>28.56</v>
      </c>
    </row>
    <row r="5100" spans="1:4">
      <c r="A5100" t="str">
        <f>"46210-01J00"</f>
        <v>46210-01J00</v>
      </c>
      <c r="B5100" t="str">
        <f>"HOSE-ASSY-BRAKE"</f>
        <v>HOSE-ASSY-BRAKE</v>
      </c>
      <c r="C5100">
        <v>0</v>
      </c>
      <c r="D5100">
        <v>855.98400000000004</v>
      </c>
    </row>
    <row r="5101" spans="1:4">
      <c r="A5101" t="str">
        <f>"46210-01J11"</f>
        <v>46210-01J11</v>
      </c>
      <c r="B5101" t="str">
        <f t="shared" ref="B5101:B5106" si="95">"HOSE ASSY-BRAKE"</f>
        <v>HOSE ASSY-BRAKE</v>
      </c>
      <c r="C5101">
        <v>5</v>
      </c>
      <c r="D5101">
        <v>906.16800000000001</v>
      </c>
    </row>
    <row r="5102" spans="1:4">
      <c r="A5102" t="str">
        <f>"46210-2F001"</f>
        <v>46210-2F001</v>
      </c>
      <c r="B5102" t="str">
        <f t="shared" si="95"/>
        <v>HOSE ASSY-BRAKE</v>
      </c>
      <c r="C5102">
        <v>16</v>
      </c>
      <c r="D5102">
        <v>1116.288</v>
      </c>
    </row>
    <row r="5103" spans="1:4">
      <c r="A5103" t="str">
        <f>"46210-2F002"</f>
        <v>46210-2F002</v>
      </c>
      <c r="B5103" t="str">
        <f t="shared" si="95"/>
        <v>HOSE ASSY-BRAKE</v>
      </c>
      <c r="C5103">
        <v>6</v>
      </c>
      <c r="D5103">
        <v>1201.9679999999998</v>
      </c>
    </row>
    <row r="5104" spans="1:4">
      <c r="A5104" t="str">
        <f>"46210-2J007"</f>
        <v>46210-2J007</v>
      </c>
      <c r="B5104" t="str">
        <f t="shared" si="95"/>
        <v>HOSE ASSY-BRAKE</v>
      </c>
      <c r="C5104">
        <v>4</v>
      </c>
      <c r="D5104">
        <v>1008.1679999999999</v>
      </c>
    </row>
    <row r="5105" spans="1:4">
      <c r="A5105" t="str">
        <f>"46210-2J008"</f>
        <v>46210-2J008</v>
      </c>
      <c r="B5105" t="str">
        <f t="shared" si="95"/>
        <v>HOSE ASSY-BRAKE</v>
      </c>
      <c r="C5105">
        <v>4</v>
      </c>
      <c r="D5105">
        <v>997.96799999999996</v>
      </c>
    </row>
    <row r="5106" spans="1:4">
      <c r="A5106" t="str">
        <f>"46210-31U02"</f>
        <v>46210-31U02</v>
      </c>
      <c r="B5106" t="str">
        <f t="shared" si="95"/>
        <v>HOSE ASSY-BRAKE</v>
      </c>
      <c r="C5106">
        <v>6</v>
      </c>
      <c r="D5106">
        <v>1098.7439999999999</v>
      </c>
    </row>
    <row r="5107" spans="1:4">
      <c r="A5107" t="str">
        <f>"46210-4Y91A"</f>
        <v>46210-4Y91A</v>
      </c>
      <c r="B5107" t="str">
        <f>"Шланг тормозного суп"</f>
        <v>Шланг тормозного суп</v>
      </c>
      <c r="C5107">
        <v>3</v>
      </c>
      <c r="D5107">
        <v>1108.5359999999998</v>
      </c>
    </row>
    <row r="5108" spans="1:4">
      <c r="A5108" t="str">
        <f>"46210-4Y91E"</f>
        <v>46210-4Y91E</v>
      </c>
      <c r="B5108" t="str">
        <f>"Шланг тормозного суп"</f>
        <v>Шланг тормозного суп</v>
      </c>
      <c r="C5108">
        <v>8</v>
      </c>
      <c r="D5108">
        <v>1104.864</v>
      </c>
    </row>
    <row r="5109" spans="1:4">
      <c r="A5109" t="str">
        <f>"46210-5M400"</f>
        <v>46210-5M400</v>
      </c>
      <c r="B5109" t="str">
        <f>"HOSE ASSY-BRAKE"</f>
        <v>HOSE ASSY-BRAKE</v>
      </c>
      <c r="C5109">
        <v>3</v>
      </c>
      <c r="D5109">
        <v>1225.2239999999999</v>
      </c>
    </row>
    <row r="5110" spans="1:4">
      <c r="A5110" t="str">
        <f>"46210-5M405"</f>
        <v>46210-5M405</v>
      </c>
      <c r="B5110" t="str">
        <f>"HOSE ASSY-BRAKE"</f>
        <v>HOSE ASSY-BRAKE</v>
      </c>
      <c r="C5110">
        <v>7</v>
      </c>
      <c r="D5110">
        <v>1221.144</v>
      </c>
    </row>
    <row r="5111" spans="1:4">
      <c r="A5111" t="str">
        <f>"46210-8H30A"</f>
        <v>46210-8H30A</v>
      </c>
      <c r="B5111" t="str">
        <f t="shared" ref="B5111:B5117" si="96">"Шланг тормозного суп"</f>
        <v>Шланг тормозного суп</v>
      </c>
      <c r="C5111">
        <v>9</v>
      </c>
      <c r="D5111">
        <v>1100.376</v>
      </c>
    </row>
    <row r="5112" spans="1:4">
      <c r="A5112" t="str">
        <f>"46210-8H30B"</f>
        <v>46210-8H30B</v>
      </c>
      <c r="B5112" t="str">
        <f t="shared" si="96"/>
        <v>Шланг тормозного суп</v>
      </c>
      <c r="C5112">
        <v>8</v>
      </c>
      <c r="D5112">
        <v>1122.4079999999999</v>
      </c>
    </row>
    <row r="5113" spans="1:4">
      <c r="A5113" t="str">
        <f>"46210-8H51A"</f>
        <v>46210-8H51A</v>
      </c>
      <c r="B5113" t="str">
        <f t="shared" si="96"/>
        <v>Шланг тормозного суп</v>
      </c>
      <c r="C5113">
        <v>4</v>
      </c>
      <c r="D5113">
        <v>1115.472</v>
      </c>
    </row>
    <row r="5114" spans="1:4">
      <c r="A5114" t="str">
        <f>"46210-8H51B"</f>
        <v>46210-8H51B</v>
      </c>
      <c r="B5114" t="str">
        <f t="shared" si="96"/>
        <v>Шланг тормозного суп</v>
      </c>
      <c r="C5114">
        <v>14</v>
      </c>
      <c r="D5114">
        <v>1110.576</v>
      </c>
    </row>
    <row r="5115" spans="1:4">
      <c r="A5115" t="str">
        <f>"46210-95F0A"</f>
        <v>46210-95F0A</v>
      </c>
      <c r="B5115" t="str">
        <f t="shared" si="96"/>
        <v>Шланг тормозного суп</v>
      </c>
      <c r="C5115">
        <v>0</v>
      </c>
      <c r="D5115">
        <v>1129.3440000000001</v>
      </c>
    </row>
    <row r="5116" spans="1:4">
      <c r="A5116" t="str">
        <f>"46210-95F0B"</f>
        <v>46210-95F0B</v>
      </c>
      <c r="B5116" t="str">
        <f t="shared" si="96"/>
        <v>Шланг тормозного суп</v>
      </c>
      <c r="C5116">
        <v>13</v>
      </c>
      <c r="D5116">
        <v>1088.5439999999999</v>
      </c>
    </row>
    <row r="5117" spans="1:4">
      <c r="A5117" t="str">
        <f>"46210-9U01A"</f>
        <v>46210-9U01A</v>
      </c>
      <c r="B5117" t="str">
        <f t="shared" si="96"/>
        <v>Шланг тормозного суп</v>
      </c>
      <c r="C5117">
        <v>2</v>
      </c>
      <c r="D5117">
        <v>1186.4639999999999</v>
      </c>
    </row>
    <row r="5118" spans="1:4">
      <c r="A5118" t="str">
        <f>"46210-9Y01A"</f>
        <v>46210-9Y01A</v>
      </c>
      <c r="B5118" t="str">
        <f>"Шланг тормозной"</f>
        <v>Шланг тормозной</v>
      </c>
      <c r="C5118">
        <v>1</v>
      </c>
      <c r="D5118">
        <v>860.88</v>
      </c>
    </row>
    <row r="5119" spans="1:4">
      <c r="A5119" t="str">
        <f>"46210-9Y02A"</f>
        <v>46210-9Y02A</v>
      </c>
      <c r="B5119" t="str">
        <f t="shared" ref="B5119:B5125" si="97">"Шланг тормозного суп"</f>
        <v>Шланг тормозного суп</v>
      </c>
      <c r="C5119">
        <v>11</v>
      </c>
      <c r="D5119">
        <v>824.976</v>
      </c>
    </row>
    <row r="5120" spans="1:4">
      <c r="A5120" t="str">
        <f>"46210-9Y02B"</f>
        <v>46210-9Y02B</v>
      </c>
      <c r="B5120" t="str">
        <f t="shared" si="97"/>
        <v>Шланг тормозного суп</v>
      </c>
      <c r="C5120">
        <v>5</v>
      </c>
      <c r="D5120">
        <v>834.3599999999999</v>
      </c>
    </row>
    <row r="5121" spans="1:4">
      <c r="A5121" t="str">
        <f>"46210-AV00A"</f>
        <v>46210-AV00A</v>
      </c>
      <c r="B5121" t="str">
        <f t="shared" si="97"/>
        <v>Шланг тормозного суп</v>
      </c>
      <c r="C5121">
        <v>0</v>
      </c>
      <c r="D5121">
        <v>966.95999999999992</v>
      </c>
    </row>
    <row r="5122" spans="1:4">
      <c r="A5122" t="str">
        <f>"46210-CA00A"</f>
        <v>46210-CA00A</v>
      </c>
      <c r="B5122" t="str">
        <f t="shared" si="97"/>
        <v>Шланг тормозного суп</v>
      </c>
      <c r="C5122">
        <v>2</v>
      </c>
      <c r="D5122">
        <v>886.58400000000006</v>
      </c>
    </row>
    <row r="5123" spans="1:4">
      <c r="A5123" t="str">
        <f>"46210-EB01A"</f>
        <v>46210-EB01A</v>
      </c>
      <c r="B5123" t="str">
        <f t="shared" si="97"/>
        <v>Шланг тормозного суп</v>
      </c>
      <c r="C5123">
        <v>16</v>
      </c>
      <c r="D5123">
        <v>860.88</v>
      </c>
    </row>
    <row r="5124" spans="1:4">
      <c r="A5124" t="str">
        <f>"46210-EB02A"</f>
        <v>46210-EB02A</v>
      </c>
      <c r="B5124" t="str">
        <f t="shared" si="97"/>
        <v>Шланг тормозного суп</v>
      </c>
      <c r="C5124">
        <v>0</v>
      </c>
      <c r="D5124">
        <v>830.68799999999999</v>
      </c>
    </row>
    <row r="5125" spans="1:4">
      <c r="A5125" t="str">
        <f>"46210-EB03A"</f>
        <v>46210-EB03A</v>
      </c>
      <c r="B5125" t="str">
        <f t="shared" si="97"/>
        <v>Шланг тормозного суп</v>
      </c>
      <c r="C5125">
        <v>50</v>
      </c>
      <c r="D5125">
        <v>836.4</v>
      </c>
    </row>
    <row r="5126" spans="1:4">
      <c r="A5126" t="str">
        <f>"46210-EM01A"</f>
        <v>46210-EM01A</v>
      </c>
      <c r="B5126" t="str">
        <f>"Шланг тормозной"</f>
        <v>Шланг тормозной</v>
      </c>
      <c r="C5126">
        <v>1</v>
      </c>
      <c r="D5126">
        <v>1142.808</v>
      </c>
    </row>
    <row r="5127" spans="1:4">
      <c r="A5127" t="str">
        <f>"46210-EM01B"</f>
        <v>46210-EM01B</v>
      </c>
      <c r="B5127" t="str">
        <f>"Шланг тормозной"</f>
        <v>Шланг тормозной</v>
      </c>
      <c r="C5127">
        <v>0</v>
      </c>
      <c r="D5127">
        <v>1016.7359999999999</v>
      </c>
    </row>
    <row r="5128" spans="1:4">
      <c r="A5128" t="str">
        <f>"46210-JD000"</f>
        <v>46210-JD000</v>
      </c>
      <c r="B5128" t="str">
        <f>"Шланг тормозного суп"</f>
        <v>Шланг тормозного суп</v>
      </c>
      <c r="C5128">
        <v>1</v>
      </c>
      <c r="D5128">
        <v>1186.8719999999998</v>
      </c>
    </row>
    <row r="5129" spans="1:4">
      <c r="A5129" t="str">
        <f>"46210-JD005"</f>
        <v>46210-JD005</v>
      </c>
      <c r="B5129" t="str">
        <f>"Шланг тормозного суп"</f>
        <v>Шланг тормозного суп</v>
      </c>
      <c r="C5129">
        <v>2</v>
      </c>
      <c r="D5129">
        <v>1095.8879999999999</v>
      </c>
    </row>
    <row r="5130" spans="1:4">
      <c r="A5130" t="str">
        <f>"46210-JG01A"</f>
        <v>46210-JG01A</v>
      </c>
      <c r="B5130" t="str">
        <f>"Шланг тормозного суп"</f>
        <v>Шланг тормозного суп</v>
      </c>
      <c r="C5130">
        <v>1</v>
      </c>
      <c r="D5130">
        <v>1432.0800000000002</v>
      </c>
    </row>
    <row r="5131" spans="1:4">
      <c r="A5131" t="str">
        <f>"46210-JG01B"</f>
        <v>46210-JG01B</v>
      </c>
      <c r="B5131" t="str">
        <f>"Шланг тормозного суп"</f>
        <v>Шланг тормозного суп</v>
      </c>
      <c r="C5131">
        <v>1</v>
      </c>
      <c r="D5131">
        <v>1399.44</v>
      </c>
    </row>
    <row r="5132" spans="1:4">
      <c r="A5132" t="str">
        <f>"46210-JN22A"</f>
        <v>46210-JN22A</v>
      </c>
      <c r="B5132" t="str">
        <f>"Шланг тормозной"</f>
        <v>Шланг тормозной</v>
      </c>
      <c r="C5132">
        <v>2</v>
      </c>
      <c r="D5132">
        <v>852.31200000000001</v>
      </c>
    </row>
    <row r="5133" spans="1:4">
      <c r="A5133" t="str">
        <f>"46210-VB00A"</f>
        <v>46210-VB00A</v>
      </c>
      <c r="B5133" t="str">
        <f>"Шланг тормозного суп"</f>
        <v>Шланг тормозного суп</v>
      </c>
      <c r="C5133">
        <v>21</v>
      </c>
      <c r="D5133">
        <v>824.56799999999998</v>
      </c>
    </row>
    <row r="5134" spans="1:4">
      <c r="A5134" t="str">
        <f>"46210-VB20A"</f>
        <v>46210-VB20A</v>
      </c>
      <c r="B5134" t="str">
        <f>"Шланг тормозного суп"</f>
        <v>Шланг тормозного суп</v>
      </c>
      <c r="C5134">
        <v>1</v>
      </c>
      <c r="D5134">
        <v>853.94399999999996</v>
      </c>
    </row>
    <row r="5135" spans="1:4">
      <c r="A5135" t="str">
        <f>"46211-0F015"</f>
        <v>46211-0F015</v>
      </c>
      <c r="B5135" t="str">
        <f>"HOSE ASSY-BRAKE"</f>
        <v>HOSE ASSY-BRAKE</v>
      </c>
      <c r="C5135">
        <v>7</v>
      </c>
      <c r="D5135">
        <v>1089.768</v>
      </c>
    </row>
    <row r="5136" spans="1:4">
      <c r="A5136" t="str">
        <f>"46211-0X800"</f>
        <v>46211-0X800</v>
      </c>
      <c r="B5136" t="str">
        <f>"HOSE ASSY-BRAKE"</f>
        <v>HOSE ASSY-BRAKE</v>
      </c>
      <c r="C5136">
        <v>2</v>
      </c>
      <c r="D5136">
        <v>924.93599999999992</v>
      </c>
    </row>
    <row r="5137" spans="1:4">
      <c r="A5137" t="str">
        <f>"46211-AV00A"</f>
        <v>46211-AV00A</v>
      </c>
      <c r="B5137" t="str">
        <f>"Шланг тормозного суп"</f>
        <v>Шланг тормозного суп</v>
      </c>
      <c r="C5137">
        <v>18</v>
      </c>
      <c r="D5137">
        <v>1184.424</v>
      </c>
    </row>
    <row r="5138" spans="1:4">
      <c r="A5138" t="str">
        <f>"46211-EB01A"</f>
        <v>46211-EB01A</v>
      </c>
      <c r="B5138" t="str">
        <f>"Тормозной шланг"</f>
        <v>Тормозной шланг</v>
      </c>
      <c r="C5138">
        <v>0</v>
      </c>
      <c r="D5138">
        <v>860.47199999999987</v>
      </c>
    </row>
    <row r="5139" spans="1:4">
      <c r="A5139" t="str">
        <f>"46211-EB03A"</f>
        <v>46211-EB03A</v>
      </c>
      <c r="B5139" t="str">
        <f>"Шланг тормозного суп"</f>
        <v>Шланг тормозного суп</v>
      </c>
      <c r="C5139">
        <v>16</v>
      </c>
      <c r="D5139">
        <v>855.16800000000001</v>
      </c>
    </row>
    <row r="5140" spans="1:4">
      <c r="A5140" t="str">
        <f>"46211-EK40A"</f>
        <v>46211-EK40A</v>
      </c>
      <c r="B5140" t="str">
        <f>"Шланг тормозного суп"</f>
        <v>Шланг тормозного суп</v>
      </c>
      <c r="C5140">
        <v>9</v>
      </c>
      <c r="D5140">
        <v>939.21599999999989</v>
      </c>
    </row>
    <row r="5141" spans="1:4">
      <c r="A5141" t="str">
        <f>"46211-JN20B"</f>
        <v>46211-JN20B</v>
      </c>
      <c r="B5141" t="str">
        <f>"Шланг тормозной"</f>
        <v>Шланг тормозной</v>
      </c>
      <c r="C5141">
        <v>0</v>
      </c>
      <c r="D5141">
        <v>1439.0160000000001</v>
      </c>
    </row>
    <row r="5142" spans="1:4">
      <c r="A5142" t="str">
        <f>"46211-VB00A"</f>
        <v>46211-VB00A</v>
      </c>
      <c r="B5142" t="str">
        <f>"Шланг тормозного суп"</f>
        <v>Шланг тормозного суп</v>
      </c>
      <c r="C5142">
        <v>11</v>
      </c>
      <c r="D5142">
        <v>773.976</v>
      </c>
    </row>
    <row r="5143" spans="1:4">
      <c r="A5143" t="str">
        <f>"46211-VB20A"</f>
        <v>46211-VB20A</v>
      </c>
      <c r="B5143" t="str">
        <f>"Шланг тормозного суп"</f>
        <v>Шланг тормозного суп</v>
      </c>
      <c r="C5143">
        <v>1</v>
      </c>
      <c r="D5143">
        <v>853.94399999999996</v>
      </c>
    </row>
    <row r="5144" spans="1:4">
      <c r="A5144" t="str">
        <f>"46211-VB91A"</f>
        <v>46211-VB91A</v>
      </c>
      <c r="B5144" t="str">
        <f>"Шланг тормозного суп"</f>
        <v>Шланг тормозного суп</v>
      </c>
      <c r="C5144">
        <v>2</v>
      </c>
      <c r="D5144">
        <v>1385.568</v>
      </c>
    </row>
    <row r="5145" spans="1:4">
      <c r="A5145" t="str">
        <f>"46212-F3701"</f>
        <v>46212-F3701</v>
      </c>
      <c r="B5145" t="str">
        <f>"PIPE-FLEXIBLE"</f>
        <v>PIPE-FLEXIBLE</v>
      </c>
      <c r="C5145">
        <v>3</v>
      </c>
      <c r="D5145">
        <v>417.38399999999996</v>
      </c>
    </row>
    <row r="5146" spans="1:4">
      <c r="A5146" t="str">
        <f>"46237-A4600"</f>
        <v>46237-A4600</v>
      </c>
      <c r="B5146" t="str">
        <f>"SEAL-OIL"</f>
        <v>SEAL-OIL</v>
      </c>
      <c r="C5146">
        <v>56</v>
      </c>
      <c r="D5146">
        <v>14.687999999999999</v>
      </c>
    </row>
    <row r="5147" spans="1:4">
      <c r="A5147" t="str">
        <f>"46237-AV601"</f>
        <v>46237-AV601</v>
      </c>
      <c r="B5147" t="str">
        <f>"ПРОКЛАДКА"</f>
        <v>ПРОКЛАДКА</v>
      </c>
      <c r="C5147">
        <v>3</v>
      </c>
      <c r="D5147">
        <v>34.68</v>
      </c>
    </row>
    <row r="5148" spans="1:4">
      <c r="A5148" t="str">
        <f>"46240-BM400"</f>
        <v>46240-BM400</v>
      </c>
      <c r="B5148" t="str">
        <f>"ТРУБКА ТОРМ"</f>
        <v>ТРУБКА ТОРМ</v>
      </c>
      <c r="C5148">
        <v>2</v>
      </c>
      <c r="D5148">
        <v>1055.4960000000001</v>
      </c>
    </row>
    <row r="5149" spans="1:4">
      <c r="A5149" t="str">
        <f>"46240-BN800"</f>
        <v>46240-BN800</v>
      </c>
      <c r="B5149" t="str">
        <f>"ТРУБКА ТОРМ"</f>
        <v>ТРУБКА ТОРМ</v>
      </c>
      <c r="C5149">
        <v>1</v>
      </c>
      <c r="D5149">
        <v>590.78399999999999</v>
      </c>
    </row>
    <row r="5150" spans="1:4">
      <c r="A5150" t="str">
        <f>"46240-EB31B"</f>
        <v>46240-EB31B</v>
      </c>
      <c r="B5150" t="str">
        <f>"Трубка тормозная"</f>
        <v>Трубка тормозная</v>
      </c>
      <c r="C5150">
        <v>0</v>
      </c>
      <c r="D5150">
        <v>243.98399999999998</v>
      </c>
    </row>
    <row r="5151" spans="1:4">
      <c r="A5151" t="str">
        <f>"46242-EB31A"</f>
        <v>46242-EB31A</v>
      </c>
      <c r="B5151" t="str">
        <f>"Трубка тормозная"</f>
        <v>Трубка тормозная</v>
      </c>
      <c r="C5151">
        <v>1</v>
      </c>
      <c r="D5151">
        <v>252.55199999999999</v>
      </c>
    </row>
    <row r="5152" spans="1:4">
      <c r="A5152" t="str">
        <f>"46282-69Y00"</f>
        <v>46282-69Y00</v>
      </c>
      <c r="B5152" t="str">
        <f>"TUBE ASSY-BRAKE"</f>
        <v>TUBE ASSY-BRAKE</v>
      </c>
      <c r="C5152">
        <v>1</v>
      </c>
      <c r="D5152">
        <v>516.52800000000002</v>
      </c>
    </row>
    <row r="5153" spans="1:4">
      <c r="A5153" t="str">
        <f>"46356-0E00A"</f>
        <v>46356-0E00A</v>
      </c>
      <c r="B5153" t="str">
        <f>"Болт крепления шланг"</f>
        <v>Болт крепления шланг</v>
      </c>
      <c r="C5153">
        <v>12</v>
      </c>
      <c r="D5153">
        <v>58.343999999999994</v>
      </c>
    </row>
    <row r="5154" spans="1:4">
      <c r="A5154" t="str">
        <f>"46360-7F000"</f>
        <v>46360-7F000</v>
      </c>
      <c r="B5154" t="str">
        <f>"КРОНШТЕЙН"</f>
        <v>КРОНШТЕЙН</v>
      </c>
      <c r="C5154">
        <v>1</v>
      </c>
      <c r="D5154">
        <v>335.37600000000003</v>
      </c>
    </row>
    <row r="5155" spans="1:4">
      <c r="A5155" t="str">
        <f>"46525-G9600"</f>
        <v>46525-G9600</v>
      </c>
      <c r="B5155" t="str">
        <f>"BUSH-PEDAL"</f>
        <v>BUSH-PEDAL</v>
      </c>
      <c r="C5155">
        <v>8</v>
      </c>
      <c r="D5155">
        <v>86.087999999999994</v>
      </c>
    </row>
    <row r="5156" spans="1:4">
      <c r="A5156" t="str">
        <f>"46531-2F000"</f>
        <v>46531-2F000</v>
      </c>
      <c r="B5156" t="str">
        <f>"PAD-PEDAL"</f>
        <v>PAD-PEDAL</v>
      </c>
      <c r="C5156">
        <v>19</v>
      </c>
      <c r="D5156">
        <v>441.86400000000003</v>
      </c>
    </row>
    <row r="5157" spans="1:4">
      <c r="A5157" t="str">
        <f>"46531-89910"</f>
        <v>46531-89910</v>
      </c>
      <c r="B5157" t="str">
        <f>"COVER PEDAL PAD"</f>
        <v>COVER PEDAL PAD</v>
      </c>
      <c r="C5157">
        <v>8</v>
      </c>
      <c r="D5157">
        <v>150.95999999999998</v>
      </c>
    </row>
    <row r="5158" spans="1:4">
      <c r="A5158" t="str">
        <f>"46531-89916"</f>
        <v>46531-89916</v>
      </c>
      <c r="B5158" t="str">
        <f>"COVER PEDAL PAD"</f>
        <v>COVER PEDAL PAD</v>
      </c>
      <c r="C5158">
        <v>7</v>
      </c>
      <c r="D5158">
        <v>153.816</v>
      </c>
    </row>
    <row r="5159" spans="1:4">
      <c r="A5159" t="str">
        <f>"46531-9C000"</f>
        <v>46531-9C000</v>
      </c>
      <c r="B5159" t="str">
        <f>"PAD-PEDAL"</f>
        <v>PAD-PEDAL</v>
      </c>
      <c r="C5159">
        <v>5</v>
      </c>
      <c r="D5159">
        <v>398.20799999999997</v>
      </c>
    </row>
    <row r="5160" spans="1:4">
      <c r="A5160" t="str">
        <f>"46531-BM401"</f>
        <v>46531-BM401</v>
      </c>
      <c r="B5160" t="str">
        <f>"PAD-PEDAL"</f>
        <v>PAD-PEDAL</v>
      </c>
      <c r="C5160">
        <v>11</v>
      </c>
      <c r="D5160">
        <v>321.09599999999995</v>
      </c>
    </row>
    <row r="5161" spans="1:4">
      <c r="A5161" t="str">
        <f>"46531-EA00B"</f>
        <v>46531-EA00B</v>
      </c>
      <c r="B5161" t="str">
        <f>"Накладка педали"</f>
        <v>Накладка педали</v>
      </c>
      <c r="C5161">
        <v>14</v>
      </c>
      <c r="D5161">
        <v>235.416</v>
      </c>
    </row>
    <row r="5162" spans="1:4">
      <c r="A5162" t="str">
        <f>"46531-JD00A"</f>
        <v>46531-JD00A</v>
      </c>
      <c r="B5162" t="str">
        <f>"Накладка педали рези"</f>
        <v>Накладка педали рези</v>
      </c>
      <c r="C5162">
        <v>9</v>
      </c>
      <c r="D5162">
        <v>339.048</v>
      </c>
    </row>
    <row r="5163" spans="1:4">
      <c r="A5163" t="str">
        <f>"46531-VB000"</f>
        <v>46531-VB000</v>
      </c>
      <c r="B5163" t="str">
        <f>"COVER PEDAL PAD"</f>
        <v>COVER PEDAL PAD</v>
      </c>
      <c r="C5163">
        <v>0</v>
      </c>
      <c r="D5163">
        <v>316.60799999999995</v>
      </c>
    </row>
    <row r="5164" spans="1:4">
      <c r="A5164" t="str">
        <f>"46531-VB010"</f>
        <v>46531-VB010</v>
      </c>
      <c r="B5164" t="str">
        <f>"PAD-PEDAL"</f>
        <v>PAD-PEDAL</v>
      </c>
      <c r="C5164">
        <v>8</v>
      </c>
      <c r="D5164">
        <v>330.88799999999998</v>
      </c>
    </row>
    <row r="5165" spans="1:4">
      <c r="A5165" t="str">
        <f>"46534-35F10"</f>
        <v>46534-35F10</v>
      </c>
      <c r="B5165" t="str">
        <f>"BUSH-PEDAL LEVE"</f>
        <v>BUSH-PEDAL LEVE</v>
      </c>
      <c r="C5165">
        <v>4</v>
      </c>
      <c r="D5165">
        <v>65.28</v>
      </c>
    </row>
    <row r="5166" spans="1:4">
      <c r="A5166" t="str">
        <f>"46535-11P01"</f>
        <v>46535-11P01</v>
      </c>
      <c r="B5166" t="str">
        <f>"BUSH-PEDAL"</f>
        <v>BUSH-PEDAL</v>
      </c>
      <c r="C5166">
        <v>12</v>
      </c>
      <c r="D5166">
        <v>180.744</v>
      </c>
    </row>
    <row r="5167" spans="1:4">
      <c r="A5167" t="str">
        <f>"46571-0F005"</f>
        <v>46571-0F005</v>
      </c>
      <c r="B5167" t="str">
        <f>"SPRING-RETURN"</f>
        <v>SPRING-RETURN</v>
      </c>
      <c r="C5167">
        <v>2</v>
      </c>
      <c r="D5167">
        <v>454.92</v>
      </c>
    </row>
    <row r="5168" spans="1:4">
      <c r="A5168" t="str">
        <f>"46585-95F0A"</f>
        <v>46585-95F0A</v>
      </c>
      <c r="B5168" t="str">
        <f>"Пружина педального у"</f>
        <v>Пружина педального у</v>
      </c>
      <c r="C5168">
        <v>1</v>
      </c>
      <c r="D5168">
        <v>250.10399999999998</v>
      </c>
    </row>
    <row r="5169" spans="1:4">
      <c r="A5169" t="str">
        <f>"47900-2Y060"</f>
        <v>47900-2Y060</v>
      </c>
      <c r="B5169" t="str">
        <f>"SENSOR ASSY"</f>
        <v>SENSOR ASSY</v>
      </c>
      <c r="C5169">
        <v>2</v>
      </c>
      <c r="D5169">
        <v>4157.5199999999995</v>
      </c>
    </row>
    <row r="5170" spans="1:4">
      <c r="A5170" t="str">
        <f>"47900-8H300"</f>
        <v>47900-8H300</v>
      </c>
      <c r="B5170" t="str">
        <f>"SENSOR ASSY"</f>
        <v>SENSOR ASSY</v>
      </c>
      <c r="C5170">
        <v>7</v>
      </c>
      <c r="D5170">
        <v>3518.1840000000002</v>
      </c>
    </row>
    <row r="5171" spans="1:4">
      <c r="A5171" t="str">
        <f>"47900-9Y00A"</f>
        <v>47900-9Y00A</v>
      </c>
      <c r="B5171" t="str">
        <f>"Датчик АБС"</f>
        <v>Датчик АБС</v>
      </c>
      <c r="C5171">
        <v>3</v>
      </c>
      <c r="D5171">
        <v>4615.2959999999994</v>
      </c>
    </row>
    <row r="5172" spans="1:4">
      <c r="A5172" t="str">
        <f>"47900-CG00A"</f>
        <v>47900-CG00A</v>
      </c>
      <c r="B5172" t="str">
        <f>"Датчик АБС"</f>
        <v>Датчик АБС</v>
      </c>
      <c r="C5172">
        <v>3</v>
      </c>
      <c r="D5172">
        <v>7089</v>
      </c>
    </row>
    <row r="5173" spans="1:4">
      <c r="A5173" t="str">
        <f>"47900-EA001"</f>
        <v>47900-EA001</v>
      </c>
      <c r="B5173" t="str">
        <f>"Датчик АБС"</f>
        <v>Датчик АБС</v>
      </c>
      <c r="C5173">
        <v>24</v>
      </c>
      <c r="D5173">
        <v>4425.1679999999997</v>
      </c>
    </row>
    <row r="5174" spans="1:4">
      <c r="A5174" t="str">
        <f>"47900-EB300"</f>
        <v>47900-EB300</v>
      </c>
      <c r="B5174" t="str">
        <f>"Датчик АБС"</f>
        <v>Датчик АБС</v>
      </c>
      <c r="C5174">
        <v>17</v>
      </c>
      <c r="D5174">
        <v>4779.3119999999999</v>
      </c>
    </row>
    <row r="5175" spans="1:4">
      <c r="A5175" t="str">
        <f>"47900-EL00A"</f>
        <v>47900-EL00A</v>
      </c>
      <c r="B5175" t="str">
        <f>"Датчик АБС"</f>
        <v>Датчик АБС</v>
      </c>
      <c r="C5175">
        <v>2</v>
      </c>
      <c r="D5175">
        <v>2524.7040000000002</v>
      </c>
    </row>
    <row r="5176" spans="1:4">
      <c r="A5176" t="str">
        <f>"47900-EQ010"</f>
        <v>47900-EQ010</v>
      </c>
      <c r="B5176" t="str">
        <f>"SENSOR ASSY"</f>
        <v>SENSOR ASSY</v>
      </c>
      <c r="C5176">
        <v>10</v>
      </c>
      <c r="D5176">
        <v>4177.1040000000003</v>
      </c>
    </row>
    <row r="5177" spans="1:4">
      <c r="A5177" t="str">
        <f>"47900-EQ01A"</f>
        <v>47900-EQ01A</v>
      </c>
      <c r="B5177" t="str">
        <f>"SENSOR ASSY"</f>
        <v>SENSOR ASSY</v>
      </c>
      <c r="C5177">
        <v>0</v>
      </c>
      <c r="D5177">
        <v>4177.1040000000003</v>
      </c>
    </row>
    <row r="5178" spans="1:4">
      <c r="A5178" t="str">
        <f>"47901-1CA0A"</f>
        <v>47901-1CA0A</v>
      </c>
      <c r="B5178" t="str">
        <f>"SENSOR ASSY-ANT"</f>
        <v>SENSOR ASSY-ANT</v>
      </c>
      <c r="C5178">
        <v>0</v>
      </c>
      <c r="D5178">
        <v>4489.6319999999996</v>
      </c>
    </row>
    <row r="5179" spans="1:4">
      <c r="A5179" t="str">
        <f>"47901-2Y060"</f>
        <v>47901-2Y060</v>
      </c>
      <c r="B5179" t="str">
        <f>"SENSOR ASSY-ANT"</f>
        <v>SENSOR ASSY-ANT</v>
      </c>
      <c r="C5179">
        <v>12</v>
      </c>
      <c r="D5179">
        <v>4551.24</v>
      </c>
    </row>
    <row r="5180" spans="1:4">
      <c r="A5180" t="str">
        <f>"47901-8H300"</f>
        <v>47901-8H300</v>
      </c>
      <c r="B5180" t="str">
        <f>"SENSOR ASSY"</f>
        <v>SENSOR ASSY</v>
      </c>
      <c r="C5180">
        <v>12</v>
      </c>
      <c r="D5180">
        <v>3734.8319999999999</v>
      </c>
    </row>
    <row r="5181" spans="1:4">
      <c r="A5181" t="str">
        <f>"47901-9Y00A"</f>
        <v>47901-9Y00A</v>
      </c>
      <c r="B5181" t="str">
        <f t="shared" ref="B5181:B5188" si="98">"Датчик АБС"</f>
        <v>Датчик АБС</v>
      </c>
      <c r="C5181">
        <v>1</v>
      </c>
      <c r="D5181">
        <v>4499.0159999999996</v>
      </c>
    </row>
    <row r="5182" spans="1:4">
      <c r="A5182" t="str">
        <f>"47901-CA00A"</f>
        <v>47901-CA00A</v>
      </c>
      <c r="B5182" t="str">
        <f t="shared" si="98"/>
        <v>Датчик АБС</v>
      </c>
      <c r="C5182">
        <v>2</v>
      </c>
      <c r="D5182">
        <v>4633.6559999999999</v>
      </c>
    </row>
    <row r="5183" spans="1:4">
      <c r="A5183" t="str">
        <f>"47901-EB300"</f>
        <v>47901-EB300</v>
      </c>
      <c r="B5183" t="str">
        <f t="shared" si="98"/>
        <v>Датчик АБС</v>
      </c>
      <c r="C5183">
        <v>16</v>
      </c>
      <c r="D5183">
        <v>4764.6239999999998</v>
      </c>
    </row>
    <row r="5184" spans="1:4">
      <c r="A5184" t="str">
        <f>"47901-EL00A"</f>
        <v>47901-EL00A</v>
      </c>
      <c r="B5184" t="str">
        <f t="shared" si="98"/>
        <v>Датчик АБС</v>
      </c>
      <c r="C5184">
        <v>6</v>
      </c>
      <c r="D5184">
        <v>2524.7040000000002</v>
      </c>
    </row>
    <row r="5185" spans="1:4">
      <c r="A5185" t="str">
        <f>"47901-EQ01A"</f>
        <v>47901-EQ01A</v>
      </c>
      <c r="B5185" t="str">
        <f t="shared" si="98"/>
        <v>Датчик АБС</v>
      </c>
      <c r="C5185">
        <v>7</v>
      </c>
      <c r="D5185">
        <v>3667.5120000000002</v>
      </c>
    </row>
    <row r="5186" spans="1:4">
      <c r="A5186" t="str">
        <f>"47910-1DA1A"</f>
        <v>47910-1DA1A</v>
      </c>
      <c r="B5186" t="str">
        <f t="shared" si="98"/>
        <v>Датчик АБС</v>
      </c>
      <c r="C5186">
        <v>39</v>
      </c>
      <c r="D5186">
        <v>4628.76</v>
      </c>
    </row>
    <row r="5187" spans="1:4">
      <c r="A5187" t="str">
        <f>"47910-1NF0B"</f>
        <v>47910-1NF0B</v>
      </c>
      <c r="B5187" t="str">
        <f t="shared" si="98"/>
        <v>Датчик АБС</v>
      </c>
      <c r="C5187">
        <v>0</v>
      </c>
      <c r="D5187">
        <v>4606.32</v>
      </c>
    </row>
    <row r="5188" spans="1:4">
      <c r="A5188" t="str">
        <f>"47910-1NP0A"</f>
        <v>47910-1NP0A</v>
      </c>
      <c r="B5188" t="str">
        <f t="shared" si="98"/>
        <v>Датчик АБС</v>
      </c>
      <c r="C5188">
        <v>7</v>
      </c>
      <c r="D5188">
        <v>4709.9520000000002</v>
      </c>
    </row>
    <row r="5189" spans="1:4">
      <c r="A5189" t="str">
        <f>"47910-2Y061"</f>
        <v>47910-2Y061</v>
      </c>
      <c r="B5189" t="str">
        <f>"SENSOR ASSY-ANT"</f>
        <v>SENSOR ASSY-ANT</v>
      </c>
      <c r="C5189">
        <v>6</v>
      </c>
      <c r="D5189">
        <v>4654.4639999999999</v>
      </c>
    </row>
    <row r="5190" spans="1:4">
      <c r="A5190" t="str">
        <f>"47910-3J301"</f>
        <v>47910-3J301</v>
      </c>
      <c r="B5190" t="str">
        <f>"SENSOR ASSY-ANT"</f>
        <v>SENSOR ASSY-ANT</v>
      </c>
      <c r="C5190">
        <v>5</v>
      </c>
      <c r="D5190">
        <v>5181.5999999999995</v>
      </c>
    </row>
    <row r="5191" spans="1:4">
      <c r="A5191" t="str">
        <f>"47910-8H300"</f>
        <v>47910-8H300</v>
      </c>
      <c r="B5191" t="str">
        <f>"SENSOR ASSY-ANT"</f>
        <v>SENSOR ASSY-ANT</v>
      </c>
      <c r="C5191">
        <v>9</v>
      </c>
      <c r="D5191">
        <v>3763.3919999999998</v>
      </c>
    </row>
    <row r="5192" spans="1:4">
      <c r="A5192" t="str">
        <f>"47910-95F0A"</f>
        <v>47910-95F0A</v>
      </c>
      <c r="B5192" t="str">
        <f>"Датчик АБС"</f>
        <v>Датчик АБС</v>
      </c>
      <c r="C5192">
        <v>9</v>
      </c>
      <c r="D5192">
        <v>3223.2</v>
      </c>
    </row>
    <row r="5193" spans="1:4">
      <c r="A5193" t="str">
        <f>"47910-9Y000"</f>
        <v>47910-9Y000</v>
      </c>
      <c r="B5193" t="str">
        <f>"Датчик АБС"</f>
        <v>Датчик АБС</v>
      </c>
      <c r="C5193">
        <v>9</v>
      </c>
      <c r="D5193">
        <v>4173.8399999999992</v>
      </c>
    </row>
    <row r="5194" spans="1:4">
      <c r="A5194" t="str">
        <f>"47910-AV700"</f>
        <v>47910-AV700</v>
      </c>
      <c r="B5194" t="str">
        <f>"SENSOR ASSY-ANT"</f>
        <v>SENSOR ASSY-ANT</v>
      </c>
      <c r="C5194">
        <v>3</v>
      </c>
      <c r="D5194">
        <v>6067.3680000000004</v>
      </c>
    </row>
    <row r="5195" spans="1:4">
      <c r="A5195" t="str">
        <f>"47910-AX610"</f>
        <v>47910-AX610</v>
      </c>
      <c r="B5195" t="str">
        <f>"SENSOR ASSY-ANT"</f>
        <v>SENSOR ASSY-ANT</v>
      </c>
      <c r="C5195">
        <v>2</v>
      </c>
      <c r="D5195">
        <v>6187.7279999999992</v>
      </c>
    </row>
    <row r="5196" spans="1:4">
      <c r="A5196" t="str">
        <f>"47910-BN800"</f>
        <v>47910-BN800</v>
      </c>
      <c r="B5196" t="str">
        <f>"SENSOR ASSY-ANT"</f>
        <v>SENSOR ASSY-ANT</v>
      </c>
      <c r="C5196">
        <v>1</v>
      </c>
      <c r="D5196">
        <v>5791.9679999999998</v>
      </c>
    </row>
    <row r="5197" spans="1:4">
      <c r="A5197" t="str">
        <f>"47910-CA000"</f>
        <v>47910-CA000</v>
      </c>
      <c r="B5197" t="str">
        <f>"Датчик АБС"</f>
        <v>Датчик АБС</v>
      </c>
      <c r="C5197">
        <v>8</v>
      </c>
      <c r="D5197">
        <v>4425.1679999999997</v>
      </c>
    </row>
    <row r="5198" spans="1:4">
      <c r="A5198" t="str">
        <f>"47910-CG00A"</f>
        <v>47910-CG00A</v>
      </c>
      <c r="B5198" t="str">
        <f>"Датчик АБС"</f>
        <v>Датчик АБС</v>
      </c>
      <c r="C5198">
        <v>11</v>
      </c>
      <c r="D5198">
        <v>6114.2879999999996</v>
      </c>
    </row>
    <row r="5199" spans="1:4">
      <c r="A5199" t="str">
        <f>"47910-EA025"</f>
        <v>47910-EA025</v>
      </c>
      <c r="B5199" t="str">
        <f>"Датчик АБС"</f>
        <v>Датчик АБС</v>
      </c>
      <c r="C5199">
        <v>14</v>
      </c>
      <c r="D5199">
        <v>3419.4479999999999</v>
      </c>
    </row>
    <row r="5200" spans="1:4">
      <c r="A5200" t="str">
        <f>"47910-EQ010"</f>
        <v>47910-EQ010</v>
      </c>
      <c r="B5200" t="str">
        <f>"SENSOR ASSY-ANT"</f>
        <v>SENSOR ASSY-ANT</v>
      </c>
      <c r="C5200">
        <v>10</v>
      </c>
      <c r="D5200">
        <v>3750.7439999999997</v>
      </c>
    </row>
    <row r="5201" spans="1:4">
      <c r="A5201" t="str">
        <f>"47910-JD000"</f>
        <v>47910-JD000</v>
      </c>
      <c r="B5201" t="str">
        <f>"Датчик АБС"</f>
        <v>Датчик АБС</v>
      </c>
      <c r="C5201">
        <v>18</v>
      </c>
      <c r="D5201">
        <v>4434.1439999999993</v>
      </c>
    </row>
    <row r="5202" spans="1:4">
      <c r="A5202" t="str">
        <f>"47910-JN00A"</f>
        <v>47910-JN00A</v>
      </c>
      <c r="B5202" t="str">
        <f>"Датчик АБС"</f>
        <v>Датчик АБС</v>
      </c>
      <c r="C5202">
        <v>5</v>
      </c>
      <c r="D5202">
        <v>4798.8959999999997</v>
      </c>
    </row>
    <row r="5203" spans="1:4">
      <c r="A5203" t="str">
        <f>"47910-VC200"</f>
        <v>47910-VC200</v>
      </c>
      <c r="B5203" t="str">
        <f>"SENSOR ASSY-ANT"</f>
        <v>SENSOR ASSY-ANT</v>
      </c>
      <c r="C5203">
        <v>8</v>
      </c>
      <c r="D5203">
        <v>6748.3200000000006</v>
      </c>
    </row>
    <row r="5204" spans="1:4">
      <c r="A5204" t="str">
        <f>"47910-ZR70A"</f>
        <v>47910-ZR70A</v>
      </c>
      <c r="B5204" t="str">
        <f>"Датчик ABS"</f>
        <v>Датчик ABS</v>
      </c>
      <c r="C5204">
        <v>0</v>
      </c>
      <c r="D5204">
        <v>2273.3759999999997</v>
      </c>
    </row>
    <row r="5205" spans="1:4">
      <c r="A5205" t="str">
        <f>"47911-0W000"</f>
        <v>47911-0W000</v>
      </c>
      <c r="B5205" t="str">
        <f>"SENSOR ASSY-ANT"</f>
        <v>SENSOR ASSY-ANT</v>
      </c>
      <c r="C5205">
        <v>3</v>
      </c>
      <c r="D5205">
        <v>4658.9520000000002</v>
      </c>
    </row>
    <row r="5206" spans="1:4">
      <c r="A5206" t="str">
        <f>"47911-0X800"</f>
        <v>47911-0X800</v>
      </c>
      <c r="B5206" t="str">
        <f>"SENSOR ASSY-ANT"</f>
        <v>SENSOR ASSY-ANT</v>
      </c>
      <c r="C5206">
        <v>2</v>
      </c>
      <c r="D5206">
        <v>6443.9520000000002</v>
      </c>
    </row>
    <row r="5207" spans="1:4">
      <c r="A5207" t="str">
        <f>"47911-2Y060"</f>
        <v>47911-2Y060</v>
      </c>
      <c r="B5207" t="str">
        <f>"SENSOR ASSY-ANT"</f>
        <v>SENSOR ASSY-ANT</v>
      </c>
      <c r="C5207">
        <v>7</v>
      </c>
      <c r="D5207">
        <v>4705.4639999999999</v>
      </c>
    </row>
    <row r="5208" spans="1:4">
      <c r="A5208" t="str">
        <f>"47911-3J301"</f>
        <v>47911-3J301</v>
      </c>
      <c r="B5208" t="str">
        <f>"SENSOR ASSY-ANT"</f>
        <v>SENSOR ASSY-ANT</v>
      </c>
      <c r="C5208">
        <v>3</v>
      </c>
      <c r="D5208">
        <v>6687.9359999999997</v>
      </c>
    </row>
    <row r="5209" spans="1:4">
      <c r="A5209" t="str">
        <f>"47911-8H300"</f>
        <v>47911-8H300</v>
      </c>
      <c r="B5209" t="str">
        <f>"SENSOR ASSY-ANT"</f>
        <v>SENSOR ASSY-ANT</v>
      </c>
      <c r="C5209">
        <v>8</v>
      </c>
      <c r="D5209">
        <v>3758.904</v>
      </c>
    </row>
    <row r="5210" spans="1:4">
      <c r="A5210" t="str">
        <f>"47911-95F0A"</f>
        <v>47911-95F0A</v>
      </c>
      <c r="B5210" t="str">
        <f>"Датчик АБС"</f>
        <v>Датчик АБС</v>
      </c>
      <c r="C5210">
        <v>19</v>
      </c>
      <c r="D5210">
        <v>3345.6</v>
      </c>
    </row>
    <row r="5211" spans="1:4">
      <c r="A5211" t="str">
        <f>"47911-9Y000"</f>
        <v>47911-9Y000</v>
      </c>
      <c r="B5211" t="str">
        <f>"Датчик АБС"</f>
        <v>Датчик АБС</v>
      </c>
      <c r="C5211">
        <v>10</v>
      </c>
      <c r="D5211">
        <v>4724.232</v>
      </c>
    </row>
    <row r="5212" spans="1:4">
      <c r="A5212" t="str">
        <f>"47911-AV700"</f>
        <v>47911-AV700</v>
      </c>
      <c r="B5212" t="str">
        <f>"SENSOR ASSY-ANT"</f>
        <v>SENSOR ASSY-ANT</v>
      </c>
      <c r="C5212">
        <v>3</v>
      </c>
      <c r="D5212">
        <v>6064.1040000000003</v>
      </c>
    </row>
    <row r="5213" spans="1:4">
      <c r="A5213" t="str">
        <f>"47911-CA000"</f>
        <v>47911-CA000</v>
      </c>
      <c r="B5213" t="str">
        <f>"Датчик АБС"</f>
        <v>Датчик АБС</v>
      </c>
      <c r="C5213">
        <v>7</v>
      </c>
      <c r="D5213">
        <v>4335.4080000000004</v>
      </c>
    </row>
    <row r="5214" spans="1:4">
      <c r="A5214" t="str">
        <f>"47911-EQ010"</f>
        <v>47911-EQ010</v>
      </c>
      <c r="B5214" t="str">
        <f>"SENSOR ASSY-ANT"</f>
        <v>SENSOR ASSY-ANT</v>
      </c>
      <c r="C5214">
        <v>4</v>
      </c>
      <c r="D5214">
        <v>3648.3360000000002</v>
      </c>
    </row>
    <row r="5215" spans="1:4">
      <c r="A5215" t="str">
        <f>"47911-VC200"</f>
        <v>47911-VC200</v>
      </c>
      <c r="B5215" t="str">
        <f>"SENSOR ASSY-ANT"</f>
        <v>SENSOR ASSY-ANT</v>
      </c>
      <c r="C5215">
        <v>8</v>
      </c>
      <c r="D5215">
        <v>6703.44</v>
      </c>
    </row>
    <row r="5216" spans="1:4">
      <c r="A5216" t="str">
        <f>"47945-3X10A"</f>
        <v>47945-3X10A</v>
      </c>
      <c r="B5216" t="str">
        <f>"Датчик положения рул"</f>
        <v>Датчик положения рул</v>
      </c>
      <c r="C5216">
        <v>1</v>
      </c>
      <c r="D5216">
        <v>8383.1759999999995</v>
      </c>
    </row>
    <row r="5217" spans="1:4">
      <c r="A5217" t="str">
        <f>"47945-AL700"</f>
        <v>47945-AL700</v>
      </c>
      <c r="B5217" t="str">
        <f>"Датчик положения рул"</f>
        <v>Датчик положения рул</v>
      </c>
      <c r="C5217">
        <v>5</v>
      </c>
      <c r="D5217">
        <v>15969.119999999999</v>
      </c>
    </row>
    <row r="5218" spans="1:4">
      <c r="A5218" t="str">
        <f>"47945-AR200"</f>
        <v>47945-AR200</v>
      </c>
      <c r="B5218" t="str">
        <f>"SEN ASSY-STRG"</f>
        <v>SEN ASSY-STRG</v>
      </c>
      <c r="C5218">
        <v>14</v>
      </c>
      <c r="D5218">
        <v>11788.344000000001</v>
      </c>
    </row>
    <row r="5219" spans="1:4">
      <c r="A5219" t="str">
        <f>"47945-JD00A"</f>
        <v>47945-JD00A</v>
      </c>
      <c r="B5219" t="str">
        <f>"Датчик рулевого коле"</f>
        <v>Датчик рулевого коле</v>
      </c>
      <c r="C5219">
        <v>0</v>
      </c>
      <c r="D5219">
        <v>4584.6959999999999</v>
      </c>
    </row>
    <row r="5220" spans="1:4">
      <c r="A5220" t="str">
        <f>"47960-0X801"</f>
        <v>47960-0X801</v>
      </c>
      <c r="B5220" t="str">
        <f>"BRACKET-SENSOR"</f>
        <v>BRACKET-SENSOR</v>
      </c>
      <c r="C5220">
        <v>12</v>
      </c>
      <c r="D5220">
        <v>178.70399999999998</v>
      </c>
    </row>
    <row r="5221" spans="1:4">
      <c r="A5221" t="str">
        <f>"47960-BC00A"</f>
        <v>47960-BC00A</v>
      </c>
      <c r="B5221" t="str">
        <f>"Кронштейн датчика АБ"</f>
        <v>Кронштейн датчика АБ</v>
      </c>
      <c r="C5221">
        <v>9</v>
      </c>
      <c r="D5221">
        <v>125.25599999999999</v>
      </c>
    </row>
    <row r="5222" spans="1:4">
      <c r="A5222" t="str">
        <f>"47970-VB200"</f>
        <v>47970-VB200</v>
      </c>
      <c r="B5222" t="str">
        <f>"SENSOR-ROTOR,AN"</f>
        <v>SENSOR-ROTOR,AN</v>
      </c>
      <c r="C5222">
        <v>2</v>
      </c>
      <c r="D5222">
        <v>1245.2160000000001</v>
      </c>
    </row>
    <row r="5223" spans="1:4">
      <c r="A5223" t="str">
        <f>"48001-9U100"</f>
        <v>48001-9U100</v>
      </c>
      <c r="B5223" t="str">
        <f>"Рейка рулевая"</f>
        <v>Рейка рулевая</v>
      </c>
      <c r="C5223">
        <v>9</v>
      </c>
      <c r="D5223">
        <v>22300.464</v>
      </c>
    </row>
    <row r="5224" spans="1:4">
      <c r="A5224" t="str">
        <f>"48001-BC45A"</f>
        <v>48001-BC45A</v>
      </c>
      <c r="B5224" t="str">
        <f>"Рейка рулевая"</f>
        <v>Рейка рулевая</v>
      </c>
      <c r="C5224">
        <v>3</v>
      </c>
      <c r="D5224">
        <v>22568.927999999996</v>
      </c>
    </row>
    <row r="5225" spans="1:4">
      <c r="A5225" t="str">
        <f>"48001-EM30A"</f>
        <v>48001-EM30A</v>
      </c>
      <c r="B5225" t="str">
        <f>"РЕЙКА РУЛ"</f>
        <v>РЕЙКА РУЛ</v>
      </c>
      <c r="C5225">
        <v>1</v>
      </c>
      <c r="D5225">
        <v>29680.367999999999</v>
      </c>
    </row>
    <row r="5226" spans="1:4">
      <c r="A5226" t="str">
        <f>"48001-EM30B"</f>
        <v>48001-EM30B</v>
      </c>
      <c r="B5226" t="str">
        <f>"Рейка рулевая"</f>
        <v>Рейка рулевая</v>
      </c>
      <c r="C5226">
        <v>4</v>
      </c>
      <c r="D5226">
        <v>29680.367999999999</v>
      </c>
    </row>
    <row r="5227" spans="1:4">
      <c r="A5227" t="str">
        <f>"48001-JD90B"</f>
        <v>48001-JD90B</v>
      </c>
      <c r="B5227" t="str">
        <f>"Рейка рулевая"</f>
        <v>Рейка рулевая</v>
      </c>
      <c r="C5227">
        <v>4</v>
      </c>
      <c r="D5227">
        <v>28504.92</v>
      </c>
    </row>
    <row r="5228" spans="1:4">
      <c r="A5228" t="str">
        <f>"48001-JG40B"</f>
        <v>48001-JG40B</v>
      </c>
      <c r="B5228" t="str">
        <f>"Рулевая рейка"</f>
        <v>Рулевая рейка</v>
      </c>
      <c r="C5228">
        <v>0</v>
      </c>
      <c r="D5228">
        <v>29777.063999999998</v>
      </c>
    </row>
    <row r="5229" spans="1:4">
      <c r="A5229" t="str">
        <f>"48055-95F0B"</f>
        <v>48055-95F0B</v>
      </c>
      <c r="B5229" t="str">
        <f>"Тяга рулевой рей"</f>
        <v>Тяга рулевой рей</v>
      </c>
      <c r="C5229">
        <v>5</v>
      </c>
      <c r="D5229">
        <v>1293.768</v>
      </c>
    </row>
    <row r="5230" spans="1:4">
      <c r="A5230" t="str">
        <f>"48070-AG00A"</f>
        <v>48070-AG00A</v>
      </c>
      <c r="B5230" t="str">
        <f>"Крестовина рулевого "</f>
        <v xml:space="preserve">Крестовина рулевого </v>
      </c>
      <c r="C5230">
        <v>7</v>
      </c>
      <c r="D5230">
        <v>2050.1999999999998</v>
      </c>
    </row>
    <row r="5231" spans="1:4">
      <c r="A5231" t="str">
        <f>"48071-EA30A"</f>
        <v>48071-EA30A</v>
      </c>
      <c r="B5231" t="str">
        <f>"Муфта рулевого механ"</f>
        <v>Муфта рулевого механ</v>
      </c>
      <c r="C5231">
        <v>10</v>
      </c>
      <c r="D5231">
        <v>3571.2239999999997</v>
      </c>
    </row>
    <row r="5232" spans="1:4">
      <c r="A5232" t="str">
        <f>"48071-VS41B"</f>
        <v>48071-VS41B</v>
      </c>
      <c r="B5232" t="str">
        <f>"Муфта рулевого механ"</f>
        <v>Муфта рулевого механ</v>
      </c>
      <c r="C5232">
        <v>1</v>
      </c>
      <c r="D5232">
        <v>3964.9439999999995</v>
      </c>
    </row>
    <row r="5233" spans="1:4">
      <c r="A5233" t="str">
        <f>"48080-0M00A"</f>
        <v>48080-0M00A</v>
      </c>
      <c r="B5233" t="str">
        <f>"Крестовина рулевого "</f>
        <v xml:space="preserve">Крестовина рулевого </v>
      </c>
      <c r="C5233">
        <v>2</v>
      </c>
      <c r="D5233">
        <v>2671.9919999999997</v>
      </c>
    </row>
    <row r="5234" spans="1:4">
      <c r="A5234" t="str">
        <f>"48080-5X10A"</f>
        <v>48080-5X10A</v>
      </c>
      <c r="B5234" t="str">
        <f>"Крестовина рулевого "</f>
        <v xml:space="preserve">Крестовина рулевого </v>
      </c>
      <c r="C5234">
        <v>20</v>
      </c>
      <c r="D5234">
        <v>6206.9039999999995</v>
      </c>
    </row>
    <row r="5235" spans="1:4">
      <c r="A5235" t="str">
        <f>"48080-8J000"</f>
        <v>48080-8J000</v>
      </c>
      <c r="B5235" t="str">
        <f>"Крестовина рулевого "</f>
        <v xml:space="preserve">Крестовина рулевого </v>
      </c>
      <c r="C5235">
        <v>7</v>
      </c>
      <c r="D5235">
        <v>3676.4879999999998</v>
      </c>
    </row>
    <row r="5236" spans="1:4">
      <c r="A5236" t="str">
        <f>"48080-8M100"</f>
        <v>48080-8M100</v>
      </c>
      <c r="B5236" t="str">
        <f>"JOINT ASSY-STEE"</f>
        <v>JOINT ASSY-STEE</v>
      </c>
      <c r="C5236">
        <v>7</v>
      </c>
      <c r="D5236">
        <v>3570.8159999999998</v>
      </c>
    </row>
    <row r="5237" spans="1:4">
      <c r="A5237" t="str">
        <f>"48080-9W000"</f>
        <v>48080-9W000</v>
      </c>
      <c r="B5237" t="str">
        <f>"Крестовина рулевого "</f>
        <v xml:space="preserve">Крестовина рулевого </v>
      </c>
      <c r="C5237">
        <v>13</v>
      </c>
      <c r="D5237">
        <v>10508.855999999998</v>
      </c>
    </row>
    <row r="5238" spans="1:4">
      <c r="A5238" t="str">
        <f>"48080-AV600"</f>
        <v>48080-AV600</v>
      </c>
      <c r="B5238" t="str">
        <f>"JOINT ASSY-STEE"</f>
        <v>JOINT ASSY-STEE</v>
      </c>
      <c r="C5238">
        <v>7</v>
      </c>
      <c r="D5238">
        <v>3818.4719999999998</v>
      </c>
    </row>
    <row r="5239" spans="1:4">
      <c r="A5239" t="str">
        <f>"48080-BN001"</f>
        <v>48080-BN001</v>
      </c>
      <c r="B5239" t="str">
        <f t="shared" ref="B5239:B5244" si="99">"Крестовина рулевого "</f>
        <v xml:space="preserve">Крестовина рулевого </v>
      </c>
      <c r="C5239">
        <v>0</v>
      </c>
      <c r="D5239">
        <v>3975.1439999999998</v>
      </c>
    </row>
    <row r="5240" spans="1:4">
      <c r="A5240" t="str">
        <f>"48080-CA00A"</f>
        <v>48080-CA00A</v>
      </c>
      <c r="B5240" t="str">
        <f t="shared" si="99"/>
        <v xml:space="preserve">Крестовина рулевого </v>
      </c>
      <c r="C5240">
        <v>4</v>
      </c>
      <c r="D5240">
        <v>4196.6879999999992</v>
      </c>
    </row>
    <row r="5241" spans="1:4">
      <c r="A5241" t="str">
        <f>"48080-CG000"</f>
        <v>48080-CG000</v>
      </c>
      <c r="B5241" t="str">
        <f t="shared" si="99"/>
        <v xml:space="preserve">Крестовина рулевого </v>
      </c>
      <c r="C5241">
        <v>21</v>
      </c>
      <c r="D5241">
        <v>2601.4079999999999</v>
      </c>
    </row>
    <row r="5242" spans="1:4">
      <c r="A5242" t="str">
        <f>"48080-EM01C"</f>
        <v>48080-EM01C</v>
      </c>
      <c r="B5242" t="str">
        <f t="shared" si="99"/>
        <v xml:space="preserve">Крестовина рулевого </v>
      </c>
      <c r="C5242">
        <v>28</v>
      </c>
      <c r="D5242">
        <v>5006.9759999999997</v>
      </c>
    </row>
    <row r="5243" spans="1:4">
      <c r="A5243" t="str">
        <f>"48080-EM02D"</f>
        <v>48080-EM02D</v>
      </c>
      <c r="B5243" t="str">
        <f t="shared" si="99"/>
        <v xml:space="preserve">Крестовина рулевого </v>
      </c>
      <c r="C5243">
        <v>2</v>
      </c>
      <c r="D5243">
        <v>5006.9759999999997</v>
      </c>
    </row>
    <row r="5244" spans="1:4">
      <c r="A5244" t="str">
        <f>"48080-JM00B"</f>
        <v>48080-JM00B</v>
      </c>
      <c r="B5244" t="str">
        <f t="shared" si="99"/>
        <v xml:space="preserve">Крестовина рулевого </v>
      </c>
      <c r="C5244">
        <v>0</v>
      </c>
      <c r="D5244">
        <v>3109.7759999999998</v>
      </c>
    </row>
    <row r="5245" spans="1:4">
      <c r="A5245" t="str">
        <f>"48203-0E026"</f>
        <v>48203-0E026</v>
      </c>
      <c r="B5245" t="str">
        <f>"Пыльник рулевой тяги"</f>
        <v>Пыльник рулевой тяги</v>
      </c>
      <c r="C5245">
        <v>7</v>
      </c>
      <c r="D5245">
        <v>707.47199999999987</v>
      </c>
    </row>
    <row r="5246" spans="1:4">
      <c r="A5246" t="str">
        <f>"48203-0W025"</f>
        <v>48203-0W025</v>
      </c>
      <c r="B5246" t="str">
        <f>"BOOT KIT"</f>
        <v>BOOT KIT</v>
      </c>
      <c r="C5246">
        <v>11</v>
      </c>
      <c r="D5246">
        <v>759.28800000000001</v>
      </c>
    </row>
    <row r="5247" spans="1:4">
      <c r="A5247" t="str">
        <f>"48203-1U61A"</f>
        <v>48203-1U61A</v>
      </c>
      <c r="B5247" t="str">
        <f>"Пыльник рулевой тяги"</f>
        <v>Пыльник рулевой тяги</v>
      </c>
      <c r="C5247">
        <v>0</v>
      </c>
      <c r="D5247">
        <v>838.03200000000004</v>
      </c>
    </row>
    <row r="5248" spans="1:4">
      <c r="A5248" t="str">
        <f>"48203-3U025"</f>
        <v>48203-3U025</v>
      </c>
      <c r="B5248" t="str">
        <f>"Пыльник рулевой тяги"</f>
        <v>Пыльник рулевой тяги</v>
      </c>
      <c r="C5248">
        <v>0</v>
      </c>
      <c r="D5248">
        <v>630.3599999999999</v>
      </c>
    </row>
    <row r="5249" spans="1:4">
      <c r="A5249" t="str">
        <f>"48203-7S025"</f>
        <v>48203-7S025</v>
      </c>
      <c r="B5249" t="str">
        <f>"Пыльник рулевой тяги"</f>
        <v>Пыльник рулевой тяги</v>
      </c>
      <c r="C5249">
        <v>0</v>
      </c>
      <c r="D5249">
        <v>523.87199999999996</v>
      </c>
    </row>
    <row r="5250" spans="1:4">
      <c r="A5250" t="str">
        <f>"48203-95F0C"</f>
        <v>48203-95F0C</v>
      </c>
      <c r="B5250" t="str">
        <f>"Пыльник рулевой тяги"</f>
        <v>Пыльник рулевой тяги</v>
      </c>
      <c r="C5250">
        <v>2</v>
      </c>
      <c r="D5250">
        <v>610.36799999999994</v>
      </c>
    </row>
    <row r="5251" spans="1:4">
      <c r="A5251" t="str">
        <f>"48203-AL525"</f>
        <v>48203-AL525</v>
      </c>
      <c r="B5251" t="str">
        <f>"BOOT KIT"</f>
        <v>BOOT KIT</v>
      </c>
      <c r="C5251">
        <v>7</v>
      </c>
      <c r="D5251">
        <v>577.72799999999995</v>
      </c>
    </row>
    <row r="5252" spans="1:4">
      <c r="A5252" t="str">
        <f>"48203-BM400"</f>
        <v>48203-BM400</v>
      </c>
      <c r="B5252" t="str">
        <f>"BOOT KIT-POWER"</f>
        <v>BOOT KIT-POWER</v>
      </c>
      <c r="C5252">
        <v>3</v>
      </c>
      <c r="D5252">
        <v>800.49599999999998</v>
      </c>
    </row>
    <row r="5253" spans="1:4">
      <c r="A5253" t="str">
        <f>"48203-EA025"</f>
        <v>48203-EA025</v>
      </c>
      <c r="B5253" t="str">
        <f t="shared" ref="B5253:B5260" si="100">"Пыльник рулевой тяги"</f>
        <v>Пыльник рулевой тяги</v>
      </c>
      <c r="C5253">
        <v>22</v>
      </c>
      <c r="D5253">
        <v>508.36799999999994</v>
      </c>
    </row>
    <row r="5254" spans="1:4">
      <c r="A5254" t="str">
        <f>"48203-JD01A"</f>
        <v>48203-JD01A</v>
      </c>
      <c r="B5254" t="str">
        <f t="shared" si="100"/>
        <v>Пыльник рулевой тяги</v>
      </c>
      <c r="C5254">
        <v>14</v>
      </c>
      <c r="D5254">
        <v>771.12</v>
      </c>
    </row>
    <row r="5255" spans="1:4">
      <c r="A5255" t="str">
        <f>"48203-VG026"</f>
        <v>48203-VG026</v>
      </c>
      <c r="B5255" t="str">
        <f t="shared" si="100"/>
        <v>Пыльник рулевой тяги</v>
      </c>
      <c r="C5255">
        <v>6</v>
      </c>
      <c r="D5255">
        <v>610.36799999999994</v>
      </c>
    </row>
    <row r="5256" spans="1:4">
      <c r="A5256" t="str">
        <f>"48203-WL026"</f>
        <v>48203-WL026</v>
      </c>
      <c r="B5256" t="str">
        <f t="shared" si="100"/>
        <v>Пыльник рулевой тяги</v>
      </c>
      <c r="C5256">
        <v>12</v>
      </c>
      <c r="D5256">
        <v>671.16</v>
      </c>
    </row>
    <row r="5257" spans="1:4">
      <c r="A5257" t="str">
        <f>"48204-5Y026"</f>
        <v>48204-5Y026</v>
      </c>
      <c r="B5257" t="str">
        <f t="shared" si="100"/>
        <v>Пыльник рулевой тяги</v>
      </c>
      <c r="C5257">
        <v>7</v>
      </c>
      <c r="D5257">
        <v>710.73599999999999</v>
      </c>
    </row>
    <row r="5258" spans="1:4">
      <c r="A5258" t="str">
        <f>"48204-AL586"</f>
        <v>48204-AL586</v>
      </c>
      <c r="B5258" t="str">
        <f t="shared" si="100"/>
        <v>Пыльник рулевой тяги</v>
      </c>
      <c r="C5258">
        <v>9</v>
      </c>
      <c r="D5258">
        <v>570.38400000000001</v>
      </c>
    </row>
    <row r="5259" spans="1:4">
      <c r="A5259" t="str">
        <f>"48204-CB025"</f>
        <v>48204-CB025</v>
      </c>
      <c r="B5259" t="str">
        <f t="shared" si="100"/>
        <v>Пыльник рулевой тяги</v>
      </c>
      <c r="C5259">
        <v>8</v>
      </c>
      <c r="D5259">
        <v>622.60800000000006</v>
      </c>
    </row>
    <row r="5260" spans="1:4">
      <c r="A5260" t="str">
        <f>"48204-WL025"</f>
        <v>48204-WL025</v>
      </c>
      <c r="B5260" t="str">
        <f t="shared" si="100"/>
        <v>Пыльник рулевой тяги</v>
      </c>
      <c r="C5260">
        <v>16</v>
      </c>
      <c r="D5260">
        <v>612.4079999999999</v>
      </c>
    </row>
    <row r="5261" spans="1:4">
      <c r="A5261" t="str">
        <f>"48366-C046C"</f>
        <v>48366-C046C</v>
      </c>
      <c r="B5261" t="str">
        <f>"Гайка"</f>
        <v>Гайка</v>
      </c>
      <c r="C5261">
        <v>10</v>
      </c>
      <c r="D5261">
        <v>101.18399999999998</v>
      </c>
    </row>
    <row r="5262" spans="1:4">
      <c r="A5262" t="str">
        <f>"48412-AX611"</f>
        <v>48412-AX611</v>
      </c>
      <c r="B5262" t="str">
        <f>"Фиксатор рулевого ко"</f>
        <v>Фиксатор рулевого ко</v>
      </c>
      <c r="C5262">
        <v>1</v>
      </c>
      <c r="D5262">
        <v>204</v>
      </c>
    </row>
    <row r="5263" spans="1:4">
      <c r="A5263" t="str">
        <f>"48412-EB316"</f>
        <v>48412-EB316</v>
      </c>
      <c r="B5263" t="str">
        <f>"Шпилька рулевого мех"</f>
        <v>Шпилька рулевого мех</v>
      </c>
      <c r="C5263">
        <v>2</v>
      </c>
      <c r="D5263">
        <v>235.00799999999998</v>
      </c>
    </row>
    <row r="5264" spans="1:4">
      <c r="A5264" t="str">
        <f>"48430-JD01D"</f>
        <v>48430-JD01D</v>
      </c>
      <c r="B5264" t="str">
        <f>"Рулевое колесо"</f>
        <v>Рулевое колесо</v>
      </c>
      <c r="C5264">
        <v>2</v>
      </c>
      <c r="D5264">
        <v>10547.616</v>
      </c>
    </row>
    <row r="5265" spans="1:4">
      <c r="A5265" t="str">
        <f>"48510-0F002"</f>
        <v>48510-0F002</v>
      </c>
      <c r="B5265" t="str">
        <f>"ROD ASSY-SIDE"</f>
        <v>ROD ASSY-SIDE</v>
      </c>
      <c r="C5265">
        <v>4</v>
      </c>
      <c r="D5265">
        <v>4397.424</v>
      </c>
    </row>
    <row r="5266" spans="1:4">
      <c r="A5266" t="str">
        <f>"48510-53A26"</f>
        <v>48510-53A26</v>
      </c>
      <c r="B5266" t="str">
        <f>"Тяга рулевая"</f>
        <v>Тяга рулевая</v>
      </c>
      <c r="C5266">
        <v>1</v>
      </c>
      <c r="D5266">
        <v>2568.7679999999996</v>
      </c>
    </row>
    <row r="5267" spans="1:4">
      <c r="A5267" t="str">
        <f>"48510-7F002"</f>
        <v>48510-7F002</v>
      </c>
      <c r="B5267" t="str">
        <f>"ROD ASSY-SIDE"</f>
        <v>ROD ASSY-SIDE</v>
      </c>
      <c r="C5267">
        <v>4</v>
      </c>
      <c r="D5267">
        <v>4530.0239999999994</v>
      </c>
    </row>
    <row r="5268" spans="1:4">
      <c r="A5268" t="str">
        <f>"48510-7F003"</f>
        <v>48510-7F003</v>
      </c>
      <c r="B5268" t="str">
        <f>"ROD ASSY-SIDE"</f>
        <v>ROD ASSY-SIDE</v>
      </c>
      <c r="C5268">
        <v>6</v>
      </c>
      <c r="D5268">
        <v>4478.2079999999996</v>
      </c>
    </row>
    <row r="5269" spans="1:4">
      <c r="A5269" t="str">
        <f>"48520-01J10"</f>
        <v>48520-01J10</v>
      </c>
      <c r="B5269" t="str">
        <f>"SOCET ASSY-ROD"</f>
        <v>SOCET ASSY-ROD</v>
      </c>
      <c r="C5269">
        <v>10</v>
      </c>
      <c r="D5269">
        <v>1532.856</v>
      </c>
    </row>
    <row r="5270" spans="1:4">
      <c r="A5270" t="str">
        <f>"48520-0C025"</f>
        <v>48520-0C025</v>
      </c>
      <c r="B5270" t="str">
        <f>"SOCKET KIT"</f>
        <v>SOCKET KIT</v>
      </c>
      <c r="C5270">
        <v>3</v>
      </c>
      <c r="D5270">
        <v>1434.9359999999999</v>
      </c>
    </row>
    <row r="5271" spans="1:4">
      <c r="A5271" t="str">
        <f>"48520-0M085"</f>
        <v>48520-0M085</v>
      </c>
      <c r="B5271" t="str">
        <f>"SOCKET-KIT"</f>
        <v>SOCKET-KIT</v>
      </c>
      <c r="C5271">
        <v>6</v>
      </c>
      <c r="D5271">
        <v>1741.3439999999998</v>
      </c>
    </row>
    <row r="5272" spans="1:4">
      <c r="A5272" t="str">
        <f>"48520-0P726"</f>
        <v>48520-0P726</v>
      </c>
      <c r="B5272" t="str">
        <f>"Наконечник рулевой т"</f>
        <v>Наконечник рулевой т</v>
      </c>
      <c r="C5272">
        <v>22</v>
      </c>
      <c r="D5272">
        <v>1428.816</v>
      </c>
    </row>
    <row r="5273" spans="1:4">
      <c r="A5273" t="str">
        <f>"48520-1P425"</f>
        <v>48520-1P425</v>
      </c>
      <c r="B5273" t="str">
        <f>"SOCKET-KIT"</f>
        <v>SOCKET-KIT</v>
      </c>
      <c r="C5273">
        <v>3</v>
      </c>
      <c r="D5273">
        <v>1551.2160000000001</v>
      </c>
    </row>
    <row r="5274" spans="1:4">
      <c r="A5274" t="str">
        <f>"48520-2J025"</f>
        <v>48520-2J025</v>
      </c>
      <c r="B5274" t="str">
        <f>"SOCKET-KIT"</f>
        <v>SOCKET-KIT</v>
      </c>
      <c r="C5274">
        <v>4</v>
      </c>
      <c r="D5274">
        <v>1792.3439999999998</v>
      </c>
    </row>
    <row r="5275" spans="1:4">
      <c r="A5275" t="str">
        <f>"48520-41B25"</f>
        <v>48520-41B25</v>
      </c>
      <c r="B5275" t="str">
        <f>"SOCKET-KIT"</f>
        <v>SOCKET-KIT</v>
      </c>
      <c r="C5275">
        <v>9</v>
      </c>
      <c r="D5275">
        <v>1391.28</v>
      </c>
    </row>
    <row r="5276" spans="1:4">
      <c r="A5276" t="str">
        <f>"48520-50Y25"</f>
        <v>48520-50Y25</v>
      </c>
      <c r="B5276" t="str">
        <f>"SOCKET ASSY"</f>
        <v>SOCKET ASSY</v>
      </c>
      <c r="C5276">
        <v>7</v>
      </c>
      <c r="D5276">
        <v>1210.944</v>
      </c>
    </row>
    <row r="5277" spans="1:4">
      <c r="A5277" t="str">
        <f>"48520-6F625"</f>
        <v>48520-6F625</v>
      </c>
      <c r="B5277" t="str">
        <f>"SOCKET KIT-TIE"</f>
        <v>SOCKET KIT-TIE</v>
      </c>
      <c r="C5277">
        <v>3</v>
      </c>
      <c r="D5277">
        <v>2064.0719999999997</v>
      </c>
    </row>
    <row r="5278" spans="1:4">
      <c r="A5278" t="str">
        <f>"48520-6N025"</f>
        <v>48520-6N025</v>
      </c>
      <c r="B5278" t="str">
        <f>"Наконечник рулевой т"</f>
        <v>Наконечник рулевой т</v>
      </c>
      <c r="C5278">
        <v>3</v>
      </c>
      <c r="D5278">
        <v>1476.9599999999998</v>
      </c>
    </row>
    <row r="5279" spans="1:4">
      <c r="A5279" t="str">
        <f>"48520-73J25"</f>
        <v>48520-73J25</v>
      </c>
      <c r="B5279" t="str">
        <f>"SOCKET-KIT"</f>
        <v>SOCKET-KIT</v>
      </c>
      <c r="C5279">
        <v>2</v>
      </c>
      <c r="D5279">
        <v>1526.7359999999999</v>
      </c>
    </row>
    <row r="5280" spans="1:4">
      <c r="A5280" t="str">
        <f>"48520-7F000"</f>
        <v>48520-7F000</v>
      </c>
      <c r="B5280" t="str">
        <f>"SOCKET ASSY-SID"</f>
        <v>SOCKET ASSY-SID</v>
      </c>
      <c r="C5280">
        <v>2</v>
      </c>
      <c r="D5280">
        <v>1457.7839999999999</v>
      </c>
    </row>
    <row r="5281" spans="1:4">
      <c r="A5281" t="str">
        <f>"48520-7F001"</f>
        <v>48520-7F001</v>
      </c>
      <c r="B5281" t="str">
        <f>"SOCKET ASSY-SID"</f>
        <v>SOCKET ASSY-SID</v>
      </c>
      <c r="C5281">
        <v>3</v>
      </c>
      <c r="D5281">
        <v>1481.4479999999999</v>
      </c>
    </row>
    <row r="5282" spans="1:4">
      <c r="A5282" t="str">
        <f>"48520-7S025"</f>
        <v>48520-7S025</v>
      </c>
      <c r="B5282" t="str">
        <f>"SOCKET KIT-TIE"</f>
        <v>SOCKET KIT-TIE</v>
      </c>
      <c r="C5282">
        <v>5</v>
      </c>
      <c r="D5282">
        <v>1248.8879999999999</v>
      </c>
    </row>
    <row r="5283" spans="1:4">
      <c r="A5283" t="str">
        <f>"48520-95F0A"</f>
        <v>48520-95F0A</v>
      </c>
      <c r="B5283" t="str">
        <f>"Наконечник рулевой т"</f>
        <v>Наконечник рулевой т</v>
      </c>
      <c r="C5283">
        <v>21</v>
      </c>
      <c r="D5283">
        <v>1341.0959999999998</v>
      </c>
    </row>
    <row r="5284" spans="1:4">
      <c r="A5284" t="str">
        <f>"48520-AX600"</f>
        <v>48520-AX600</v>
      </c>
      <c r="B5284" t="str">
        <f>"SOCKET KIT-TIE"</f>
        <v>SOCKET KIT-TIE</v>
      </c>
      <c r="C5284">
        <v>5</v>
      </c>
      <c r="D5284">
        <v>2778.0719999999997</v>
      </c>
    </row>
    <row r="5285" spans="1:4">
      <c r="A5285" t="str">
        <f>"48520-AX602"</f>
        <v>48520-AX602</v>
      </c>
      <c r="B5285" t="str">
        <f>"SOCKET KIT-TIE"</f>
        <v>SOCKET KIT-TIE</v>
      </c>
      <c r="C5285">
        <v>6</v>
      </c>
      <c r="D5285">
        <v>1475.7359999999999</v>
      </c>
    </row>
    <row r="5286" spans="1:4">
      <c r="A5286" t="str">
        <f>"48520-BM425"</f>
        <v>48520-BM425</v>
      </c>
      <c r="B5286" t="str">
        <f>"SOCKET KIT-TIE"</f>
        <v>SOCKET KIT-TIE</v>
      </c>
      <c r="C5286">
        <v>9</v>
      </c>
      <c r="D5286">
        <v>2126.0879999999997</v>
      </c>
    </row>
    <row r="5287" spans="1:4">
      <c r="A5287" t="str">
        <f>"48520-CA025"</f>
        <v>48520-CA025</v>
      </c>
      <c r="B5287" t="str">
        <f>"SOCKET KIT-TIE"</f>
        <v>SOCKET KIT-TIE</v>
      </c>
      <c r="C5287">
        <v>25</v>
      </c>
      <c r="D5287">
        <v>2046.12</v>
      </c>
    </row>
    <row r="5288" spans="1:4">
      <c r="A5288" t="str">
        <f>"48520-CK025"</f>
        <v>48520-CK025</v>
      </c>
      <c r="B5288" t="str">
        <f>"Наконечник рулевой т"</f>
        <v>Наконечник рулевой т</v>
      </c>
      <c r="C5288">
        <v>0</v>
      </c>
      <c r="D5288">
        <v>1532.04</v>
      </c>
    </row>
    <row r="5289" spans="1:4">
      <c r="A5289" t="str">
        <f>"48520-EA01J"</f>
        <v>48520-EA01J</v>
      </c>
      <c r="B5289" t="str">
        <f>"SOCKET-KIT"</f>
        <v>SOCKET-KIT</v>
      </c>
      <c r="C5289">
        <v>130</v>
      </c>
      <c r="D5289">
        <v>1898.8319999999999</v>
      </c>
    </row>
    <row r="5290" spans="1:4">
      <c r="A5290" t="str">
        <f>"48520-VW025"</f>
        <v>48520-VW025</v>
      </c>
      <c r="B5290" t="str">
        <f>"Наконечник рулевой т"</f>
        <v>Наконечник рулевой т</v>
      </c>
      <c r="C5290">
        <v>0</v>
      </c>
      <c r="D5290">
        <v>2073.0479999999998</v>
      </c>
    </row>
    <row r="5291" spans="1:4">
      <c r="A5291" t="str">
        <f>"48521-0C005"</f>
        <v>48521-0C005</v>
      </c>
      <c r="B5291" t="str">
        <f>"SOCKET ASSY"</f>
        <v>SOCKET ASSY</v>
      </c>
      <c r="C5291">
        <v>6</v>
      </c>
      <c r="D5291">
        <v>1376.184</v>
      </c>
    </row>
    <row r="5292" spans="1:4">
      <c r="A5292" t="str">
        <f>"48521-0W025"</f>
        <v>48521-0W025</v>
      </c>
      <c r="B5292" t="str">
        <f>"SOCKET KIT-ROD"</f>
        <v>SOCKET KIT-ROD</v>
      </c>
      <c r="C5292">
        <v>8</v>
      </c>
      <c r="D5292">
        <v>1598.136</v>
      </c>
    </row>
    <row r="5293" spans="1:4">
      <c r="A5293" t="str">
        <f>"48521-2J000"</f>
        <v>48521-2J000</v>
      </c>
      <c r="B5293" t="str">
        <f>"Тяга рулевой рей"</f>
        <v>Тяга рулевой рей</v>
      </c>
      <c r="C5293">
        <v>5</v>
      </c>
      <c r="D5293">
        <v>1547.952</v>
      </c>
    </row>
    <row r="5294" spans="1:4">
      <c r="A5294" t="str">
        <f>"48521-2Y405"</f>
        <v>48521-2Y405</v>
      </c>
      <c r="B5294" t="str">
        <f>"ASSY-SOCKET 99"</f>
        <v>ASSY-SOCKET 99</v>
      </c>
      <c r="C5294">
        <v>19</v>
      </c>
      <c r="D5294">
        <v>1438.6079999999999</v>
      </c>
    </row>
    <row r="5295" spans="1:4">
      <c r="A5295" t="str">
        <f>"48521-3J225"</f>
        <v>48521-3J225</v>
      </c>
      <c r="B5295" t="str">
        <f>"Наконечник рулевой т"</f>
        <v>Наконечник рулевой т</v>
      </c>
      <c r="C5295">
        <v>4</v>
      </c>
      <c r="D5295">
        <v>2007.36</v>
      </c>
    </row>
    <row r="5296" spans="1:4">
      <c r="A5296" t="str">
        <f>"48521-3U025"</f>
        <v>48521-3U025</v>
      </c>
      <c r="B5296" t="str">
        <f>"Тяга рулевой рей"</f>
        <v>Тяга рулевой рей</v>
      </c>
      <c r="C5296">
        <v>19</v>
      </c>
      <c r="D5296">
        <v>1343.5439999999999</v>
      </c>
    </row>
    <row r="5297" spans="1:4">
      <c r="A5297" t="str">
        <f>"48521-4M401"</f>
        <v>48521-4M401</v>
      </c>
      <c r="B5297" t="str">
        <f>"SOCKET KIT-ROD"</f>
        <v>SOCKET KIT-ROD</v>
      </c>
      <c r="C5297">
        <v>1</v>
      </c>
      <c r="D5297">
        <v>1428</v>
      </c>
    </row>
    <row r="5298" spans="1:4">
      <c r="A5298" t="str">
        <f>"48521-4M500"</f>
        <v>48521-4M500</v>
      </c>
      <c r="B5298" t="str">
        <f>"SOCKET KET-TIE"</f>
        <v>SOCKET KET-TIE</v>
      </c>
      <c r="C5298">
        <v>6</v>
      </c>
      <c r="D5298">
        <v>1275</v>
      </c>
    </row>
    <row r="5299" spans="1:4">
      <c r="A5299" t="str">
        <f>"48521-4N100"</f>
        <v>48521-4N100</v>
      </c>
      <c r="B5299" t="str">
        <f>"ASSY-SOCKET 99"</f>
        <v>ASSY-SOCKET 99</v>
      </c>
      <c r="C5299">
        <v>26</v>
      </c>
      <c r="D5299">
        <v>1427.184</v>
      </c>
    </row>
    <row r="5300" spans="1:4">
      <c r="A5300" t="str">
        <f>"48521-4U000"</f>
        <v>48521-4U000</v>
      </c>
      <c r="B5300" t="str">
        <f>"ASSY-SOCKET 99"</f>
        <v>ASSY-SOCKET 99</v>
      </c>
      <c r="C5300">
        <v>1</v>
      </c>
      <c r="D5300">
        <v>1420.2479999999998</v>
      </c>
    </row>
    <row r="5301" spans="1:4">
      <c r="A5301" t="str">
        <f>"48521-4U110"</f>
        <v>48521-4U110</v>
      </c>
      <c r="B5301" t="str">
        <f>"ASSY-SOCKET 99"</f>
        <v>ASSY-SOCKET 99</v>
      </c>
      <c r="C5301">
        <v>2</v>
      </c>
      <c r="D5301">
        <v>1443.912</v>
      </c>
    </row>
    <row r="5302" spans="1:4">
      <c r="A5302" t="str">
        <f>"48521-6N000"</f>
        <v>48521-6N000</v>
      </c>
      <c r="B5302" t="str">
        <f>"Тяга рулевой рей"</f>
        <v>Тяга рулевой рей</v>
      </c>
      <c r="C5302">
        <v>2</v>
      </c>
      <c r="D5302">
        <v>1181.9759999999999</v>
      </c>
    </row>
    <row r="5303" spans="1:4">
      <c r="A5303" t="str">
        <f>"48521-7J100"</f>
        <v>48521-7J100</v>
      </c>
      <c r="B5303" t="str">
        <f>"SOCKET ASSY"</f>
        <v>SOCKET ASSY</v>
      </c>
      <c r="C5303">
        <v>4</v>
      </c>
      <c r="D5303">
        <v>1474.9199999999998</v>
      </c>
    </row>
    <row r="5304" spans="1:4">
      <c r="A5304" t="str">
        <f>"48521-7S000"</f>
        <v>48521-7S000</v>
      </c>
      <c r="B5304" t="str">
        <f>"Тяга рулевой рей"</f>
        <v>Тяга рулевой рей</v>
      </c>
      <c r="C5304">
        <v>10</v>
      </c>
      <c r="D5304">
        <v>1244.3999999999999</v>
      </c>
    </row>
    <row r="5305" spans="1:4">
      <c r="A5305" t="str">
        <f>"48521-8H300"</f>
        <v>48521-8H300</v>
      </c>
      <c r="B5305" t="str">
        <f>"ASSY-SOCKET 99"</f>
        <v>ASSY-SOCKET 99</v>
      </c>
      <c r="C5305">
        <v>5</v>
      </c>
      <c r="D5305">
        <v>1311.7199999999998</v>
      </c>
    </row>
    <row r="5306" spans="1:4">
      <c r="A5306" t="str">
        <f>"48521-8H328"</f>
        <v>48521-8H328</v>
      </c>
      <c r="B5306" t="str">
        <f t="shared" ref="B5306:B5311" si="101">"Тяга рулевой рей"</f>
        <v>Тяга рулевой рей</v>
      </c>
      <c r="C5306">
        <v>7</v>
      </c>
      <c r="D5306">
        <v>1752.36</v>
      </c>
    </row>
    <row r="5307" spans="1:4">
      <c r="A5307" t="str">
        <f>"48521-8H386"</f>
        <v>48521-8H386</v>
      </c>
      <c r="B5307" t="str">
        <f t="shared" si="101"/>
        <v>Тяга рулевой рей</v>
      </c>
      <c r="C5307">
        <v>8</v>
      </c>
      <c r="D5307">
        <v>1788.6719999999998</v>
      </c>
    </row>
    <row r="5308" spans="1:4">
      <c r="A5308" t="str">
        <f>"48521-95F0A"</f>
        <v>48521-95F0A</v>
      </c>
      <c r="B5308" t="str">
        <f t="shared" si="101"/>
        <v>Тяга рулевой рей</v>
      </c>
      <c r="C5308">
        <v>25</v>
      </c>
      <c r="D5308">
        <v>1473.288</v>
      </c>
    </row>
    <row r="5309" spans="1:4">
      <c r="A5309" t="str">
        <f>"48521-9Y027"</f>
        <v>48521-9Y027</v>
      </c>
      <c r="B5309" t="str">
        <f t="shared" si="101"/>
        <v>Тяга рулевой рей</v>
      </c>
      <c r="C5309">
        <v>0</v>
      </c>
      <c r="D5309">
        <v>1339.8719999999998</v>
      </c>
    </row>
    <row r="5310" spans="1:4">
      <c r="A5310" t="str">
        <f>"48521-AA000"</f>
        <v>48521-AA000</v>
      </c>
      <c r="B5310" t="str">
        <f t="shared" si="101"/>
        <v>Тяга рулевой рей</v>
      </c>
      <c r="C5310">
        <v>6</v>
      </c>
      <c r="D5310">
        <v>1271.328</v>
      </c>
    </row>
    <row r="5311" spans="1:4">
      <c r="A5311" t="str">
        <f>"48521-AG000"</f>
        <v>48521-AG000</v>
      </c>
      <c r="B5311" t="str">
        <f t="shared" si="101"/>
        <v>Тяга рулевой рей</v>
      </c>
      <c r="C5311">
        <v>27</v>
      </c>
      <c r="D5311">
        <v>1429.6319999999998</v>
      </c>
    </row>
    <row r="5312" spans="1:4">
      <c r="A5312" t="str">
        <f>"48521-AL500"</f>
        <v>48521-AL500</v>
      </c>
      <c r="B5312" t="str">
        <f>"Наконечник рулевой т"</f>
        <v>Наконечник рулевой т</v>
      </c>
      <c r="C5312">
        <v>13</v>
      </c>
      <c r="D5312">
        <v>1181.9759999999999</v>
      </c>
    </row>
    <row r="5313" spans="1:4">
      <c r="A5313" t="str">
        <f>"48521-AU000"</f>
        <v>48521-AU000</v>
      </c>
      <c r="B5313" t="str">
        <f>"Тяга рулевой рей"</f>
        <v>Тяга рулевой рей</v>
      </c>
      <c r="C5313">
        <v>4</v>
      </c>
      <c r="D5313">
        <v>1985.7359999999999</v>
      </c>
    </row>
    <row r="5314" spans="1:4">
      <c r="A5314" t="str">
        <f>"48521-CA025"</f>
        <v>48521-CA025</v>
      </c>
      <c r="B5314" t="str">
        <f>"SOCKET ASSY"</f>
        <v>SOCKET ASSY</v>
      </c>
      <c r="C5314">
        <v>20</v>
      </c>
      <c r="D5314">
        <v>1634.4479999999999</v>
      </c>
    </row>
    <row r="5315" spans="1:4">
      <c r="A5315" t="str">
        <f>"48521-CB026"</f>
        <v>48521-CB026</v>
      </c>
      <c r="B5315" t="str">
        <f>"Наконечник рулевой т"</f>
        <v>Наконечник рулевой т</v>
      </c>
      <c r="C5315">
        <v>6</v>
      </c>
      <c r="D5315">
        <v>1489.6079999999999</v>
      </c>
    </row>
    <row r="5316" spans="1:4">
      <c r="A5316" t="str">
        <f>"48521-CB027"</f>
        <v>48521-CB027</v>
      </c>
      <c r="B5316" t="str">
        <f>"Наконечник рулевой т"</f>
        <v>Наконечник рулевой т</v>
      </c>
      <c r="C5316">
        <v>90</v>
      </c>
      <c r="D5316">
        <v>1402.2959999999998</v>
      </c>
    </row>
    <row r="5317" spans="1:4">
      <c r="A5317" t="str">
        <f>"48521-CG025"</f>
        <v>48521-CG025</v>
      </c>
      <c r="B5317" t="str">
        <f>"SOCKET KIT-ROD"</f>
        <v>SOCKET KIT-ROD</v>
      </c>
      <c r="C5317">
        <v>23</v>
      </c>
      <c r="D5317">
        <v>1310.4959999999999</v>
      </c>
    </row>
    <row r="5318" spans="1:4">
      <c r="A5318" t="str">
        <f>"48521-CK000"</f>
        <v>48521-CK000</v>
      </c>
      <c r="B5318" t="str">
        <f>"Тяга рулевой рей"</f>
        <v>Тяга рулевой рей</v>
      </c>
      <c r="C5318">
        <v>0</v>
      </c>
      <c r="D5318">
        <v>1514.4959999999999</v>
      </c>
    </row>
    <row r="5319" spans="1:4">
      <c r="A5319" t="str">
        <f>"48521-EA000"</f>
        <v>48521-EA000</v>
      </c>
      <c r="B5319" t="str">
        <f>"SOCKET KIT-ROD"</f>
        <v>SOCKET KIT-ROD</v>
      </c>
      <c r="C5319">
        <v>3</v>
      </c>
      <c r="D5319">
        <v>1186.4639999999999</v>
      </c>
    </row>
    <row r="5320" spans="1:4">
      <c r="A5320" t="str">
        <f>"48521-EG027"</f>
        <v>48521-EG027</v>
      </c>
      <c r="B5320" t="str">
        <f>"Наконечник рулевой т"</f>
        <v>Наконечник рулевой т</v>
      </c>
      <c r="C5320">
        <v>5</v>
      </c>
      <c r="D5320">
        <v>1785.816</v>
      </c>
    </row>
    <row r="5321" spans="1:4">
      <c r="A5321" t="str">
        <f>"48521-EG028"</f>
        <v>48521-EG028</v>
      </c>
      <c r="B5321" t="str">
        <f>"Тяга рулевой рей"</f>
        <v>Тяга рулевой рей</v>
      </c>
      <c r="C5321">
        <v>9</v>
      </c>
      <c r="D5321">
        <v>1758.48</v>
      </c>
    </row>
    <row r="5322" spans="1:4">
      <c r="A5322" t="str">
        <f>"48521-WF500"</f>
        <v>48521-WF500</v>
      </c>
      <c r="B5322" t="str">
        <f>"Тяга рулевой рей"</f>
        <v>Тяга рулевой рей</v>
      </c>
      <c r="C5322">
        <v>14</v>
      </c>
      <c r="D5322">
        <v>1560.192</v>
      </c>
    </row>
    <row r="5323" spans="1:4">
      <c r="A5323" t="str">
        <f>"48527-1U61A"</f>
        <v>48527-1U61A</v>
      </c>
      <c r="B5323" t="str">
        <f>"Тяга рулевой рей"</f>
        <v>Тяга рулевой рей</v>
      </c>
      <c r="C5323">
        <v>6</v>
      </c>
      <c r="D5323">
        <v>3250.5360000000001</v>
      </c>
    </row>
    <row r="5324" spans="1:4">
      <c r="A5324" t="str">
        <f>"48527-JD01A"</f>
        <v>48527-JD01A</v>
      </c>
      <c r="B5324" t="str">
        <f>"Тяга рулевой рей"</f>
        <v>Тяга рулевой рей</v>
      </c>
      <c r="C5324">
        <v>13</v>
      </c>
      <c r="D5324">
        <v>2035.9199999999998</v>
      </c>
    </row>
    <row r="5325" spans="1:4">
      <c r="A5325" t="str">
        <f>"48530-0F000"</f>
        <v>48530-0F000</v>
      </c>
      <c r="B5325" t="str">
        <f>"IDLER ASSY-STEE"</f>
        <v>IDLER ASSY-STEE</v>
      </c>
      <c r="C5325">
        <v>2</v>
      </c>
      <c r="D5325">
        <v>5020.848</v>
      </c>
    </row>
    <row r="5326" spans="1:4">
      <c r="A5326" t="str">
        <f>"48544-01G00"</f>
        <v>48544-01G00</v>
      </c>
      <c r="B5326" t="str">
        <f>"BUSH-IDLER ARM"</f>
        <v>BUSH-IDLER ARM</v>
      </c>
      <c r="C5326">
        <v>26</v>
      </c>
      <c r="D5326">
        <v>93.432000000000002</v>
      </c>
    </row>
    <row r="5327" spans="1:4">
      <c r="A5327" t="str">
        <f>"48560-0F000"</f>
        <v>48560-0F000</v>
      </c>
      <c r="B5327" t="str">
        <f>"ROD ASSY-RELAY"</f>
        <v>ROD ASSY-RELAY</v>
      </c>
      <c r="C5327">
        <v>0</v>
      </c>
      <c r="D5327">
        <v>7979.2559999999994</v>
      </c>
    </row>
    <row r="5328" spans="1:4">
      <c r="A5328" t="str">
        <f>"48560-31G26"</f>
        <v>48560-31G26</v>
      </c>
      <c r="B5328" t="str">
        <f>"ROD ASSY-CROSS"</f>
        <v>ROD ASSY-CROSS</v>
      </c>
      <c r="C5328">
        <v>5</v>
      </c>
      <c r="D5328">
        <v>5678.5439999999999</v>
      </c>
    </row>
    <row r="5329" spans="1:4">
      <c r="A5329" t="str">
        <f>"48570-31G25"</f>
        <v>48570-31G25</v>
      </c>
      <c r="B5329" t="str">
        <f>"SOCET ASSY-ROD"</f>
        <v>SOCET ASSY-ROD</v>
      </c>
      <c r="C5329">
        <v>1</v>
      </c>
      <c r="D5329">
        <v>1359.048</v>
      </c>
    </row>
    <row r="5330" spans="1:4">
      <c r="A5330" t="str">
        <f>"48587-01G00"</f>
        <v>48587-01G00</v>
      </c>
      <c r="B5330" t="str">
        <f>"SEAL-GREASE"</f>
        <v>SEAL-GREASE</v>
      </c>
      <c r="C5330">
        <v>0</v>
      </c>
      <c r="D5330">
        <v>99.96</v>
      </c>
    </row>
    <row r="5331" spans="1:4">
      <c r="A5331" t="str">
        <f>"48611-26J00"</f>
        <v>48611-26J00</v>
      </c>
      <c r="B5331" t="str">
        <f>"DAMPER-STEERING"</f>
        <v>DAMPER-STEERING</v>
      </c>
      <c r="C5331">
        <v>12</v>
      </c>
      <c r="D5331">
        <v>2046.9359999999999</v>
      </c>
    </row>
    <row r="5332" spans="1:4">
      <c r="A5332" t="str">
        <f>"48611-VB000"</f>
        <v>48611-VB000</v>
      </c>
      <c r="B5332" t="str">
        <f>"DAMPER-STEERING"</f>
        <v>DAMPER-STEERING</v>
      </c>
      <c r="C5332">
        <v>3</v>
      </c>
      <c r="D5332">
        <v>2259.096</v>
      </c>
    </row>
    <row r="5333" spans="1:4">
      <c r="A5333" t="str">
        <f>"48611-VS40A"</f>
        <v>48611-VS40A</v>
      </c>
      <c r="B5333" t="str">
        <f>"Амортизатор рулевого"</f>
        <v>Амортизатор рулевого</v>
      </c>
      <c r="C5333">
        <v>21</v>
      </c>
      <c r="D5333">
        <v>3210.5520000000001</v>
      </c>
    </row>
    <row r="5334" spans="1:4">
      <c r="A5334" t="str">
        <f>"48635-50A06"</f>
        <v>48635-50A06</v>
      </c>
      <c r="B5334" t="str">
        <f>"SPACER STRG GEA"</f>
        <v>SPACER STRG GEA</v>
      </c>
      <c r="C5334">
        <v>13</v>
      </c>
      <c r="D5334">
        <v>219.91199999999998</v>
      </c>
    </row>
    <row r="5335" spans="1:4">
      <c r="A5335" t="str">
        <f>"48636-EN00A"</f>
        <v>48636-EN00A</v>
      </c>
      <c r="B5335" t="str">
        <f>"Держатель рулевой тя"</f>
        <v>Держатель рулевой тя</v>
      </c>
      <c r="C5335">
        <v>2</v>
      </c>
      <c r="D5335">
        <v>543.45600000000002</v>
      </c>
    </row>
    <row r="5336" spans="1:4">
      <c r="A5336" t="str">
        <f>"48640-1P425"</f>
        <v>48640-1P425</v>
      </c>
      <c r="B5336" t="str">
        <f>"SOCKET-KIT"</f>
        <v>SOCKET-KIT</v>
      </c>
      <c r="C5336">
        <v>2</v>
      </c>
      <c r="D5336">
        <v>1501.0319999999999</v>
      </c>
    </row>
    <row r="5337" spans="1:4">
      <c r="A5337" t="str">
        <f>"48640-7S025"</f>
        <v>48640-7S025</v>
      </c>
      <c r="B5337" t="str">
        <f>"SOCKET KIT-TIE"</f>
        <v>SOCKET KIT-TIE</v>
      </c>
      <c r="C5337">
        <v>13</v>
      </c>
      <c r="D5337">
        <v>1309.2719999999999</v>
      </c>
    </row>
    <row r="5338" spans="1:4">
      <c r="A5338" t="str">
        <f>"48640-AL585"</f>
        <v>48640-AL585</v>
      </c>
      <c r="B5338" t="str">
        <f>"Наконечник рулевой т"</f>
        <v>Наконечник рулевой т</v>
      </c>
      <c r="C5338">
        <v>6</v>
      </c>
      <c r="D5338">
        <v>1803.36</v>
      </c>
    </row>
    <row r="5339" spans="1:4">
      <c r="A5339" t="str">
        <f>"48640-AX600"</f>
        <v>48640-AX600</v>
      </c>
      <c r="B5339" t="str">
        <f>"SOCKET KIT-TIE"</f>
        <v>SOCKET KIT-TIE</v>
      </c>
      <c r="C5339">
        <v>4</v>
      </c>
      <c r="D5339">
        <v>3270.9360000000001</v>
      </c>
    </row>
    <row r="5340" spans="1:4">
      <c r="A5340" t="str">
        <f>"48640-AX602"</f>
        <v>48640-AX602</v>
      </c>
      <c r="B5340" t="str">
        <f>"SOCKET KIT-TIE"</f>
        <v>SOCKET KIT-TIE</v>
      </c>
      <c r="C5340">
        <v>17</v>
      </c>
      <c r="D5340">
        <v>1940.4479999999999</v>
      </c>
    </row>
    <row r="5341" spans="1:4">
      <c r="A5341" t="str">
        <f>"48640-EA01J"</f>
        <v>48640-EA01J</v>
      </c>
      <c r="B5341" t="str">
        <f>"SOCKET-KIT"</f>
        <v>SOCKET-KIT</v>
      </c>
      <c r="C5341">
        <v>12</v>
      </c>
      <c r="D5341">
        <v>1880.4719999999998</v>
      </c>
    </row>
    <row r="5342" spans="1:4">
      <c r="A5342" t="str">
        <f>"48647-1U61A"</f>
        <v>48647-1U61A</v>
      </c>
      <c r="B5342" t="str">
        <f>"Наконечник рулевой т"</f>
        <v>Наконечник рулевой т</v>
      </c>
      <c r="C5342">
        <v>19</v>
      </c>
      <c r="D5342">
        <v>3250.1280000000002</v>
      </c>
    </row>
    <row r="5343" spans="1:4">
      <c r="A5343" t="str">
        <f>"48647-JD01A"</f>
        <v>48647-JD01A</v>
      </c>
      <c r="B5343" t="str">
        <f>"Наконечник рулевой т"</f>
        <v>Наконечник рулевой т</v>
      </c>
      <c r="C5343">
        <v>15</v>
      </c>
      <c r="D5343">
        <v>1982.4719999999998</v>
      </c>
    </row>
    <row r="5344" spans="1:4">
      <c r="A5344" t="str">
        <f>"48663-08T00"</f>
        <v>48663-08T00</v>
      </c>
      <c r="B5344" t="str">
        <f>"BUSH-RELAY LEVR"</f>
        <v>BUSH-RELAY LEVR</v>
      </c>
      <c r="C5344">
        <v>7</v>
      </c>
      <c r="D5344">
        <v>219.91199999999998</v>
      </c>
    </row>
    <row r="5345" spans="1:4">
      <c r="A5345" t="str">
        <f>"48663-C6001"</f>
        <v>48663-C6001</v>
      </c>
      <c r="B5345" t="str">
        <f>"BUSH-RELAY LEVE"</f>
        <v>BUSH-RELAY LEVE</v>
      </c>
      <c r="C5345">
        <v>6</v>
      </c>
      <c r="D5345">
        <v>75.888000000000005</v>
      </c>
    </row>
    <row r="5346" spans="1:4">
      <c r="A5346" t="str">
        <f>"48680-27J15"</f>
        <v>48680-27J15</v>
      </c>
      <c r="B5346" t="str">
        <f>"LINK ASSY-DRA99"</f>
        <v>LINK ASSY-DRA99</v>
      </c>
      <c r="C5346">
        <v>3</v>
      </c>
      <c r="D5346">
        <v>8898.887999999999</v>
      </c>
    </row>
    <row r="5347" spans="1:4">
      <c r="A5347" t="str">
        <f>"48681-VB025"</f>
        <v>48681-VB025</v>
      </c>
      <c r="B5347" t="str">
        <f>"LINK KIT-DRAG"</f>
        <v>LINK KIT-DRAG</v>
      </c>
      <c r="C5347">
        <v>2</v>
      </c>
      <c r="D5347">
        <v>2150.9760000000001</v>
      </c>
    </row>
    <row r="5348" spans="1:4">
      <c r="A5348" t="str">
        <f>"48703-06F0A"</f>
        <v>48703-06F0A</v>
      </c>
      <c r="B5348" t="str">
        <f>"Болт замка зажигания"</f>
        <v>Болт замка зажигания</v>
      </c>
      <c r="C5348">
        <v>0</v>
      </c>
      <c r="D5348">
        <v>75.072000000000003</v>
      </c>
    </row>
    <row r="5349" spans="1:4">
      <c r="A5349" t="str">
        <f>"48750-0M010"</f>
        <v>48750-0M010</v>
      </c>
      <c r="B5349" t="str">
        <f>"SWITCH ASSY-IGN"</f>
        <v>SWITCH ASSY-IGN</v>
      </c>
      <c r="C5349">
        <v>7</v>
      </c>
      <c r="D5349">
        <v>802.12800000000004</v>
      </c>
    </row>
    <row r="5350" spans="1:4">
      <c r="A5350" t="str">
        <f>"48750-1E411"</f>
        <v>48750-1E411</v>
      </c>
      <c r="B5350" t="str">
        <f>"SWITCH ASSY-IGN"</f>
        <v>SWITCH ASSY-IGN</v>
      </c>
      <c r="C5350">
        <v>20</v>
      </c>
      <c r="D5350">
        <v>1140.3599999999999</v>
      </c>
    </row>
    <row r="5351" spans="1:4">
      <c r="A5351" t="str">
        <f>"48750-2F010"</f>
        <v>48750-2F010</v>
      </c>
      <c r="B5351" t="str">
        <f>"SWITCH ASSY-IGN"</f>
        <v>SWITCH ASSY-IGN</v>
      </c>
      <c r="C5351">
        <v>13</v>
      </c>
      <c r="D5351">
        <v>882.096</v>
      </c>
    </row>
    <row r="5352" spans="1:4">
      <c r="A5352" t="str">
        <f>"48750-50Y00"</f>
        <v>48750-50Y00</v>
      </c>
      <c r="B5352" t="str">
        <f>"SWITCH-IGNITION"</f>
        <v>SWITCH-IGNITION</v>
      </c>
      <c r="C5352">
        <v>6</v>
      </c>
      <c r="D5352">
        <v>1055.904</v>
      </c>
    </row>
    <row r="5353" spans="1:4">
      <c r="A5353" t="str">
        <f>"48750-70J00"</f>
        <v>48750-70J00</v>
      </c>
      <c r="B5353" t="str">
        <f>"SWITCH-IGNITION"</f>
        <v>SWITCH-IGNITION</v>
      </c>
      <c r="C5353">
        <v>18</v>
      </c>
      <c r="D5353">
        <v>855.57600000000002</v>
      </c>
    </row>
    <row r="5354" spans="1:4">
      <c r="A5354" t="str">
        <f>"48750-AD000"</f>
        <v>48750-AD000</v>
      </c>
      <c r="B5354" t="str">
        <f>"Контактная группа за"</f>
        <v>Контактная группа за</v>
      </c>
      <c r="C5354">
        <v>6</v>
      </c>
      <c r="D5354">
        <v>969.81599999999992</v>
      </c>
    </row>
    <row r="5355" spans="1:4">
      <c r="A5355" t="str">
        <f>"48805-BC15B"</f>
        <v>48805-BC15B</v>
      </c>
      <c r="B5355" t="str">
        <f>"Рулевая колонка"</f>
        <v>Рулевая колонка</v>
      </c>
      <c r="C5355">
        <v>3</v>
      </c>
      <c r="D5355">
        <v>41351.616000000002</v>
      </c>
    </row>
    <row r="5356" spans="1:4">
      <c r="A5356" t="str">
        <f>"48810-1BA1D"</f>
        <v>48810-1BA1D</v>
      </c>
      <c r="B5356" t="str">
        <f>"Рулевая колонка"</f>
        <v>Рулевая колонка</v>
      </c>
      <c r="C5356">
        <v>1</v>
      </c>
      <c r="D5356">
        <v>36029.663999999997</v>
      </c>
    </row>
    <row r="5357" spans="1:4">
      <c r="A5357" t="str">
        <f>"48820-VB000"</f>
        <v>48820-VB000</v>
      </c>
      <c r="B5357" t="str">
        <f>"SHAFT ASSY-STEE"</f>
        <v>SHAFT ASSY-STEE</v>
      </c>
      <c r="C5357">
        <v>0</v>
      </c>
      <c r="D5357">
        <v>5982.0959999999995</v>
      </c>
    </row>
    <row r="5358" spans="1:4">
      <c r="A5358" t="str">
        <f>"48822-CG200"</f>
        <v>48822-CG200</v>
      </c>
      <c r="B5358" t="str">
        <f>"Вал рулевого механиз"</f>
        <v>Вал рулевого механиз</v>
      </c>
      <c r="C5358">
        <v>4</v>
      </c>
      <c r="D5358">
        <v>5700.9839999999995</v>
      </c>
    </row>
    <row r="5359" spans="1:4">
      <c r="A5359" t="str">
        <f>"48989-JD02C"</f>
        <v>48989-JD02C</v>
      </c>
      <c r="B5359" t="str">
        <f>"Заглушка рулевой кол"</f>
        <v>Заглушка рулевой кол</v>
      </c>
      <c r="C5359">
        <v>0</v>
      </c>
      <c r="D5359">
        <v>467.976</v>
      </c>
    </row>
    <row r="5360" spans="1:4">
      <c r="A5360" t="str">
        <f>"49001-3X12A"</f>
        <v>49001-3X12A</v>
      </c>
      <c r="B5360" t="str">
        <f>"Рейка рулевая"</f>
        <v>Рейка рулевая</v>
      </c>
      <c r="C5360">
        <v>5</v>
      </c>
      <c r="D5360">
        <v>36475.608</v>
      </c>
    </row>
    <row r="5361" spans="1:4">
      <c r="A5361" t="str">
        <f>"49001-3X13A"</f>
        <v>49001-3X13A</v>
      </c>
      <c r="B5361" t="str">
        <f>"Рейка рулевая"</f>
        <v>Рейка рулевая</v>
      </c>
      <c r="C5361">
        <v>4</v>
      </c>
      <c r="D5361">
        <v>36475.608</v>
      </c>
    </row>
    <row r="5362" spans="1:4">
      <c r="A5362" t="str">
        <f>"49001-3Y60A"</f>
        <v>49001-3Y60A</v>
      </c>
      <c r="B5362" t="str">
        <f>"Рейка рулевая"</f>
        <v>Рейка рулевая</v>
      </c>
      <c r="C5362">
        <v>1</v>
      </c>
      <c r="D5362">
        <v>29944.751999999997</v>
      </c>
    </row>
    <row r="5363" spans="1:4">
      <c r="A5363" t="str">
        <f>"49001-44U00"</f>
        <v>49001-44U00</v>
      </c>
      <c r="B5363" t="str">
        <f>"GEAR &amp; LINKAGE-"</f>
        <v>GEAR &amp; LINKAGE-</v>
      </c>
      <c r="C5363">
        <v>2</v>
      </c>
      <c r="D5363">
        <v>40187.184000000001</v>
      </c>
    </row>
    <row r="5364" spans="1:4">
      <c r="A5364" t="str">
        <f>"49001-6Y51A"</f>
        <v>49001-6Y51A</v>
      </c>
      <c r="B5364" t="str">
        <f>"Рейка рулевая"</f>
        <v>Рейка рулевая</v>
      </c>
      <c r="C5364">
        <v>2</v>
      </c>
      <c r="D5364">
        <v>38746.536</v>
      </c>
    </row>
    <row r="5365" spans="1:4">
      <c r="A5365" t="str">
        <f>"49001-8H90B"</f>
        <v>49001-8H90B</v>
      </c>
      <c r="B5365" t="str">
        <f>"GEAR &amp; LINKAGE"</f>
        <v>GEAR &amp; LINKAGE</v>
      </c>
      <c r="C5365">
        <v>7</v>
      </c>
      <c r="D5365">
        <v>31767.696</v>
      </c>
    </row>
    <row r="5366" spans="1:4">
      <c r="A5366" t="str">
        <f>"49001-95F0B"</f>
        <v>49001-95F0B</v>
      </c>
      <c r="B5366" t="str">
        <f>"Рейка рулевая"</f>
        <v>Рейка рулевая</v>
      </c>
      <c r="C5366">
        <v>9</v>
      </c>
      <c r="D5366">
        <v>35510.28</v>
      </c>
    </row>
    <row r="5367" spans="1:4">
      <c r="A5367" t="str">
        <f>"49001-9W50A"</f>
        <v>49001-9W50A</v>
      </c>
      <c r="B5367" t="str">
        <f>"Рейка рулевая"</f>
        <v>Рейка рулевая</v>
      </c>
      <c r="C5367">
        <v>5</v>
      </c>
      <c r="D5367">
        <v>39726.551999999996</v>
      </c>
    </row>
    <row r="5368" spans="1:4">
      <c r="A5368" t="str">
        <f>"49001-9W50B"</f>
        <v>49001-9W50B</v>
      </c>
      <c r="B5368" t="str">
        <f>"РЕЙКА РУЛЕВАЯ"</f>
        <v>РЕЙКА РУЛЕВАЯ</v>
      </c>
      <c r="C5368">
        <v>0</v>
      </c>
      <c r="D5368">
        <v>41751.864000000001</v>
      </c>
    </row>
    <row r="5369" spans="1:4">
      <c r="A5369" t="str">
        <f>"49001-BA21A"</f>
        <v>49001-BA21A</v>
      </c>
      <c r="B5369" t="str">
        <f>"Рейка рулевая"</f>
        <v>Рейка рулевая</v>
      </c>
      <c r="C5369">
        <v>0</v>
      </c>
      <c r="D5369">
        <v>26227.056</v>
      </c>
    </row>
    <row r="5370" spans="1:4">
      <c r="A5370" t="str">
        <f>"49001-BN01A"</f>
        <v>49001-BN01A</v>
      </c>
      <c r="B5370" t="str">
        <f>"Рейка рулевая"</f>
        <v>Рейка рулевая</v>
      </c>
      <c r="C5370">
        <v>0</v>
      </c>
      <c r="D5370">
        <v>19753.319999999996</v>
      </c>
    </row>
    <row r="5371" spans="1:4">
      <c r="A5371" t="str">
        <f>"49001-CB800"</f>
        <v>49001-CB800</v>
      </c>
      <c r="B5371" t="str">
        <f>"Рейка рулевая"</f>
        <v>Рейка рулевая</v>
      </c>
      <c r="C5371">
        <v>1</v>
      </c>
      <c r="D5371">
        <v>39962.376000000004</v>
      </c>
    </row>
    <row r="5372" spans="1:4">
      <c r="A5372" t="str">
        <f>"49001-CC20B"</f>
        <v>49001-CC20B</v>
      </c>
      <c r="B5372" t="str">
        <f>"Рейка рулевая"</f>
        <v>Рейка рулевая</v>
      </c>
      <c r="C5372">
        <v>0</v>
      </c>
      <c r="D5372">
        <v>37549.872000000003</v>
      </c>
    </row>
    <row r="5373" spans="1:4">
      <c r="A5373" t="str">
        <f>"49001-CG100"</f>
        <v>49001-CG100</v>
      </c>
      <c r="B5373" t="str">
        <f>"GEAR &amp; LINKAGE"</f>
        <v>GEAR &amp; LINKAGE</v>
      </c>
      <c r="C5373">
        <v>6</v>
      </c>
      <c r="D5373">
        <v>40804.080000000002</v>
      </c>
    </row>
    <row r="5374" spans="1:4">
      <c r="A5374" t="str">
        <f>"49001-CG101"</f>
        <v>49001-CG101</v>
      </c>
      <c r="B5374" t="str">
        <f t="shared" ref="B5374:B5379" si="102">"Рейка рулевая"</f>
        <v>Рейка рулевая</v>
      </c>
      <c r="C5374">
        <v>5</v>
      </c>
      <c r="D5374">
        <v>41188.823999999993</v>
      </c>
    </row>
    <row r="5375" spans="1:4">
      <c r="A5375" t="str">
        <f>"49001-CL11D"</f>
        <v>49001-CL11D</v>
      </c>
      <c r="B5375" t="str">
        <f t="shared" si="102"/>
        <v>Рейка рулевая</v>
      </c>
      <c r="C5375">
        <v>3</v>
      </c>
      <c r="D5375">
        <v>42072.144</v>
      </c>
    </row>
    <row r="5376" spans="1:4">
      <c r="A5376" t="str">
        <f>"49001-EH11B"</f>
        <v>49001-EH11B</v>
      </c>
      <c r="B5376" t="str">
        <f t="shared" si="102"/>
        <v>Рейка рулевая</v>
      </c>
      <c r="C5376">
        <v>3</v>
      </c>
      <c r="D5376">
        <v>47396.951999999997</v>
      </c>
    </row>
    <row r="5377" spans="1:4">
      <c r="A5377" t="str">
        <f>"49001-ES60C"</f>
        <v>49001-ES60C</v>
      </c>
      <c r="B5377" t="str">
        <f t="shared" si="102"/>
        <v>Рейка рулевая</v>
      </c>
      <c r="C5377">
        <v>3</v>
      </c>
      <c r="D5377">
        <v>39398.928</v>
      </c>
    </row>
    <row r="5378" spans="1:4">
      <c r="A5378" t="str">
        <f>"49001-JK61A"</f>
        <v>49001-JK61A</v>
      </c>
      <c r="B5378" t="str">
        <f t="shared" si="102"/>
        <v>Рейка рулевая</v>
      </c>
      <c r="C5378">
        <v>0</v>
      </c>
      <c r="D5378">
        <v>39048.864000000001</v>
      </c>
    </row>
    <row r="5379" spans="1:4">
      <c r="A5379" t="str">
        <f>"49001-ZH50A"</f>
        <v>49001-ZH50A</v>
      </c>
      <c r="B5379" t="str">
        <f t="shared" si="102"/>
        <v>Рейка рулевая</v>
      </c>
      <c r="C5379">
        <v>2</v>
      </c>
      <c r="D5379">
        <v>26846.808000000001</v>
      </c>
    </row>
    <row r="5380" spans="1:4">
      <c r="A5380" t="str">
        <f>"49110-1AA0A"</f>
        <v>49110-1AA0A</v>
      </c>
      <c r="B5380" t="str">
        <f>"Насос гидроусилителя"</f>
        <v>Насос гидроусилителя</v>
      </c>
      <c r="C5380">
        <v>76</v>
      </c>
      <c r="D5380">
        <v>13943.807999999999</v>
      </c>
    </row>
    <row r="5381" spans="1:4">
      <c r="A5381" t="str">
        <f>"49110-2F200"</f>
        <v>49110-2F200</v>
      </c>
      <c r="B5381" t="str">
        <f>"PUMP ASSY-POWER"</f>
        <v>PUMP ASSY-POWER</v>
      </c>
      <c r="C5381">
        <v>1</v>
      </c>
      <c r="D5381">
        <v>17554.608</v>
      </c>
    </row>
    <row r="5382" spans="1:4">
      <c r="A5382" t="str">
        <f>"49110-3X01A"</f>
        <v>49110-3X01A</v>
      </c>
      <c r="B5382" t="str">
        <f t="shared" ref="B5382:B5391" si="103">"Насос гидроусилителя"</f>
        <v>Насос гидроусилителя</v>
      </c>
      <c r="C5382">
        <v>5</v>
      </c>
      <c r="D5382">
        <v>17947.919999999998</v>
      </c>
    </row>
    <row r="5383" spans="1:4">
      <c r="A5383" t="str">
        <f>"49110-40U1B"</f>
        <v>49110-40U1B</v>
      </c>
      <c r="B5383" t="str">
        <f t="shared" si="103"/>
        <v>Насос гидроусилителя</v>
      </c>
      <c r="C5383">
        <v>5</v>
      </c>
      <c r="D5383">
        <v>14793.671999999999</v>
      </c>
    </row>
    <row r="5384" spans="1:4">
      <c r="A5384" t="str">
        <f>"49110-4W01A"</f>
        <v>49110-4W01A</v>
      </c>
      <c r="B5384" t="str">
        <f t="shared" si="103"/>
        <v>Насос гидроусилителя</v>
      </c>
      <c r="C5384">
        <v>2</v>
      </c>
      <c r="D5384">
        <v>13636.175999999999</v>
      </c>
    </row>
    <row r="5385" spans="1:4">
      <c r="A5385" t="str">
        <f>"49110-95F0A"</f>
        <v>49110-95F0A</v>
      </c>
      <c r="B5385" t="str">
        <f t="shared" si="103"/>
        <v>Насос гидроусилителя</v>
      </c>
      <c r="C5385">
        <v>4</v>
      </c>
      <c r="D5385">
        <v>11638.608</v>
      </c>
    </row>
    <row r="5386" spans="1:4">
      <c r="A5386" t="str">
        <f>"49110-9Y800"</f>
        <v>49110-9Y800</v>
      </c>
      <c r="B5386" t="str">
        <f t="shared" si="103"/>
        <v>Насос гидроусилителя</v>
      </c>
      <c r="C5386">
        <v>10</v>
      </c>
      <c r="D5386">
        <v>15217.175999999999</v>
      </c>
    </row>
    <row r="5387" spans="1:4">
      <c r="A5387" t="str">
        <f>"49110-BA00C"</f>
        <v>49110-BA00C</v>
      </c>
      <c r="B5387" t="str">
        <f t="shared" si="103"/>
        <v>Насос гидроусилителя</v>
      </c>
      <c r="C5387">
        <v>16</v>
      </c>
      <c r="D5387">
        <v>14569.679999999998</v>
      </c>
    </row>
    <row r="5388" spans="1:4">
      <c r="A5388" t="str">
        <f>"49110-BA01C"</f>
        <v>49110-BA01C</v>
      </c>
      <c r="B5388" t="str">
        <f t="shared" si="103"/>
        <v>Насос гидроусилителя</v>
      </c>
      <c r="C5388">
        <v>2</v>
      </c>
      <c r="D5388">
        <v>14559.887999999999</v>
      </c>
    </row>
    <row r="5389" spans="1:4">
      <c r="A5389" t="str">
        <f>"49110-BN00C"</f>
        <v>49110-BN00C</v>
      </c>
      <c r="B5389" t="str">
        <f t="shared" si="103"/>
        <v>Насос гидроусилителя</v>
      </c>
      <c r="C5389">
        <v>2</v>
      </c>
      <c r="D5389">
        <v>12490.92</v>
      </c>
    </row>
    <row r="5390" spans="1:4">
      <c r="A5390" t="str">
        <f>"49110-CB00C"</f>
        <v>49110-CB00C</v>
      </c>
      <c r="B5390" t="str">
        <f t="shared" si="103"/>
        <v>Насос гидроусилителя</v>
      </c>
      <c r="C5390">
        <v>2</v>
      </c>
      <c r="D5390">
        <v>15786.335999999999</v>
      </c>
    </row>
    <row r="5391" spans="1:4">
      <c r="A5391" t="str">
        <f>"49110-CG000"</f>
        <v>49110-CG000</v>
      </c>
      <c r="B5391" t="str">
        <f t="shared" si="103"/>
        <v>Насос гидроусилителя</v>
      </c>
      <c r="C5391">
        <v>20</v>
      </c>
      <c r="D5391">
        <v>12481.536</v>
      </c>
    </row>
    <row r="5392" spans="1:4">
      <c r="A5392" t="str">
        <f>"49110-CG200"</f>
        <v>49110-CG200</v>
      </c>
      <c r="B5392" t="str">
        <f>"PUMP ASSY-POWER"</f>
        <v>PUMP ASSY-POWER</v>
      </c>
      <c r="C5392">
        <v>3</v>
      </c>
      <c r="D5392">
        <v>12866.279999999999</v>
      </c>
    </row>
    <row r="5393" spans="1:4">
      <c r="A5393" t="str">
        <f>"49110-CN00C"</f>
        <v>49110-CN00C</v>
      </c>
      <c r="B5393" t="str">
        <f>"Насос гидроусилителя"</f>
        <v>Насос гидроусилителя</v>
      </c>
      <c r="C5393">
        <v>4</v>
      </c>
      <c r="D5393">
        <v>11623.512000000001</v>
      </c>
    </row>
    <row r="5394" spans="1:4">
      <c r="A5394" t="str">
        <f>"49110-JK20A"</f>
        <v>49110-JK20A</v>
      </c>
      <c r="B5394" t="str">
        <f>"Насос гидроусилителя"</f>
        <v>Насос гидроусилителя</v>
      </c>
      <c r="C5394">
        <v>1</v>
      </c>
      <c r="D5394">
        <v>16499.112000000001</v>
      </c>
    </row>
    <row r="5395" spans="1:4">
      <c r="A5395" t="str">
        <f>"49110-VB300"</f>
        <v>49110-VB300</v>
      </c>
      <c r="B5395" t="str">
        <f>"PUMP ASSY-POWER"</f>
        <v>PUMP ASSY-POWER</v>
      </c>
      <c r="C5395">
        <v>14</v>
      </c>
      <c r="D5395">
        <v>17137.223999999998</v>
      </c>
    </row>
    <row r="5396" spans="1:4">
      <c r="A5396" t="str">
        <f>"49110-VS40B"</f>
        <v>49110-VS40B</v>
      </c>
      <c r="B5396" t="str">
        <f>"Насос гидроусилителя"</f>
        <v>Насос гидроусилителя</v>
      </c>
      <c r="C5396">
        <v>6</v>
      </c>
      <c r="D5396">
        <v>15521.951999999997</v>
      </c>
    </row>
    <row r="5397" spans="1:4">
      <c r="A5397" t="str">
        <f>"49115-95F0B"</f>
        <v>49115-95F0B</v>
      </c>
      <c r="B5397" t="str">
        <f>"Бачок жидкости гидро"</f>
        <v>Бачок жидкости гидро</v>
      </c>
      <c r="C5397">
        <v>4</v>
      </c>
      <c r="D5397">
        <v>4438.6319999999996</v>
      </c>
    </row>
    <row r="5398" spans="1:4">
      <c r="A5398" t="str">
        <f>"49119-50L25"</f>
        <v>49119-50L25</v>
      </c>
      <c r="B5398" t="str">
        <f>"SEAL-RETAINER"</f>
        <v>SEAL-RETAINER</v>
      </c>
      <c r="C5398">
        <v>5</v>
      </c>
      <c r="D5398">
        <v>252.14400000000001</v>
      </c>
    </row>
    <row r="5399" spans="1:4">
      <c r="A5399" t="str">
        <f>"49132-0M000"</f>
        <v>49132-0M000</v>
      </c>
      <c r="B5399" t="str">
        <f>"PULLEY-PUMP"</f>
        <v>PULLEY-PUMP</v>
      </c>
      <c r="C5399">
        <v>1</v>
      </c>
      <c r="D5399">
        <v>1790.3040000000001</v>
      </c>
    </row>
    <row r="5400" spans="1:4">
      <c r="A5400" t="str">
        <f>"49132-AD100"</f>
        <v>49132-AD100</v>
      </c>
      <c r="B5400" t="str">
        <f>"PULLEY-PUMP"</f>
        <v>PULLEY-PUMP</v>
      </c>
      <c r="C5400">
        <v>5</v>
      </c>
      <c r="D5400">
        <v>2052.6479999999997</v>
      </c>
    </row>
    <row r="5401" spans="1:4">
      <c r="A5401" t="str">
        <f>"49176-2W200"</f>
        <v>49176-2W200</v>
      </c>
      <c r="B5401" t="str">
        <f>"SEAL-INLET CONN"</f>
        <v>SEAL-INLET CONN</v>
      </c>
      <c r="C5401">
        <v>3</v>
      </c>
      <c r="D5401">
        <v>118.72799999999999</v>
      </c>
    </row>
    <row r="5402" spans="1:4">
      <c r="A5402" t="str">
        <f>"49180-BM400"</f>
        <v>49180-BM400</v>
      </c>
      <c r="B5402" t="str">
        <f>"TANK ASSY-RESER"</f>
        <v>TANK ASSY-RESER</v>
      </c>
      <c r="C5402">
        <v>6</v>
      </c>
      <c r="D5402">
        <v>4647.9359999999997</v>
      </c>
    </row>
    <row r="5403" spans="1:4">
      <c r="A5403" t="str">
        <f>"49181-AA000"</f>
        <v>49181-AA000</v>
      </c>
      <c r="B5403" t="str">
        <f>"CAP ASSY-RESERV"</f>
        <v>CAP ASSY-RESERV</v>
      </c>
      <c r="C5403">
        <v>0</v>
      </c>
      <c r="D5403">
        <v>522.64800000000002</v>
      </c>
    </row>
    <row r="5404" spans="1:4">
      <c r="A5404" t="str">
        <f>"49200-JN01A"</f>
        <v>49200-JN01A</v>
      </c>
      <c r="B5404" t="str">
        <f>"Рулевая рейка"</f>
        <v>Рулевая рейка</v>
      </c>
      <c r="C5404">
        <v>0</v>
      </c>
      <c r="D5404">
        <v>35872.991999999998</v>
      </c>
    </row>
    <row r="5405" spans="1:4">
      <c r="A5405" t="str">
        <f>"49200-VS40A"</f>
        <v>49200-VS40A</v>
      </c>
      <c r="B5405" t="str">
        <f>"Редуктор рулевой"</f>
        <v>Редуктор рулевой</v>
      </c>
      <c r="C5405">
        <v>2</v>
      </c>
      <c r="D5405">
        <v>36300.167999999998</v>
      </c>
    </row>
    <row r="5406" spans="1:4">
      <c r="A5406" t="str">
        <f>"49202-01J25"</f>
        <v>49202-01J25</v>
      </c>
      <c r="B5406" t="str">
        <f>"K SEAL-B SECTOR"</f>
        <v>K SEAL-B SECTOR</v>
      </c>
      <c r="C5406">
        <v>12</v>
      </c>
      <c r="D5406">
        <v>388.82399999999996</v>
      </c>
    </row>
    <row r="5407" spans="1:4">
      <c r="A5407" t="str">
        <f>"49202-06W26"</f>
        <v>49202-06W26</v>
      </c>
      <c r="B5407" t="str">
        <f>"K SEAL-B SECTOR"</f>
        <v>K SEAL-B SECTOR</v>
      </c>
      <c r="C5407">
        <v>7</v>
      </c>
      <c r="D5407">
        <v>486.33599999999996</v>
      </c>
    </row>
    <row r="5408" spans="1:4">
      <c r="A5408" t="str">
        <f>"49220-CA000"</f>
        <v>49220-CA000</v>
      </c>
      <c r="B5408" t="str">
        <f>"Вал шестерня гидроус"</f>
        <v>Вал шестерня гидроус</v>
      </c>
      <c r="C5408">
        <v>6</v>
      </c>
      <c r="D5408">
        <v>4922.5200000000004</v>
      </c>
    </row>
    <row r="5409" spans="1:4">
      <c r="A5409" t="str">
        <f>"49297-2Y085"</f>
        <v>49297-2Y085</v>
      </c>
      <c r="B5409" t="str">
        <f>"SEAL KIT"</f>
        <v>SEAL KIT</v>
      </c>
      <c r="C5409">
        <v>10</v>
      </c>
      <c r="D5409">
        <v>743.78399999999999</v>
      </c>
    </row>
    <row r="5410" spans="1:4">
      <c r="A5410" t="str">
        <f>"49297-4M485"</f>
        <v>49297-4M485</v>
      </c>
      <c r="B5410" t="str">
        <f>"Сальники рулевой рей"</f>
        <v>Сальники рулевой рей</v>
      </c>
      <c r="C5410">
        <v>9</v>
      </c>
      <c r="D5410">
        <v>738.4799999999999</v>
      </c>
    </row>
    <row r="5411" spans="1:4">
      <c r="A5411" t="str">
        <f>"49297-4U027"</f>
        <v>49297-4U027</v>
      </c>
      <c r="B5411" t="str">
        <f>"Сальники рулевой рей"</f>
        <v>Сальники рулевой рей</v>
      </c>
      <c r="C5411">
        <v>4</v>
      </c>
      <c r="D5411">
        <v>1879.6559999999999</v>
      </c>
    </row>
    <row r="5412" spans="1:4">
      <c r="A5412" t="str">
        <f>"49297-5M385"</f>
        <v>49297-5M385</v>
      </c>
      <c r="B5412" t="str">
        <f>"SEAL KIT"</f>
        <v>SEAL KIT</v>
      </c>
      <c r="C5412">
        <v>13</v>
      </c>
      <c r="D5412">
        <v>842.928</v>
      </c>
    </row>
    <row r="5413" spans="1:4">
      <c r="A5413" t="str">
        <f>"49297-5Y085"</f>
        <v>49297-5Y085</v>
      </c>
      <c r="B5413" t="str">
        <f>"SEAL KIT"</f>
        <v>SEAL KIT</v>
      </c>
      <c r="C5413">
        <v>14</v>
      </c>
      <c r="D5413">
        <v>818.04000000000008</v>
      </c>
    </row>
    <row r="5414" spans="1:4">
      <c r="A5414" t="str">
        <f>"49297-8N025"</f>
        <v>49297-8N025</v>
      </c>
      <c r="B5414" t="str">
        <f>"Ремкомплект (2 сальн"</f>
        <v>Ремкомплект (2 сальн</v>
      </c>
      <c r="C5414">
        <v>7</v>
      </c>
      <c r="D5414">
        <v>1918.8239999999998</v>
      </c>
    </row>
    <row r="5415" spans="1:4">
      <c r="A5415" t="str">
        <f>"49297-9Y025"</f>
        <v>49297-9Y025</v>
      </c>
      <c r="B5415" t="str">
        <f>"Ремкомплект (4 уплот"</f>
        <v>Ремкомплект (4 уплот</v>
      </c>
      <c r="C5415">
        <v>16</v>
      </c>
      <c r="D5415">
        <v>742.15200000000004</v>
      </c>
    </row>
    <row r="5416" spans="1:4">
      <c r="A5416" t="str">
        <f>"49297-AW725"</f>
        <v>49297-AW725</v>
      </c>
      <c r="B5416" t="str">
        <f>"Сальники рулевой рей"</f>
        <v>Сальники рулевой рей</v>
      </c>
      <c r="C5416">
        <v>23</v>
      </c>
      <c r="D5416">
        <v>989.80799999999999</v>
      </c>
    </row>
    <row r="5417" spans="1:4">
      <c r="A5417" t="str">
        <f>"49297-CB025"</f>
        <v>49297-CB025</v>
      </c>
      <c r="B5417" t="str">
        <f>"Сальники рулевой рей"</f>
        <v>Сальники рулевой рей</v>
      </c>
      <c r="C5417">
        <v>0</v>
      </c>
      <c r="D5417">
        <v>833.54399999999998</v>
      </c>
    </row>
    <row r="5418" spans="1:4">
      <c r="A5418" t="str">
        <f>"49321-52N26"</f>
        <v>49321-52N26</v>
      </c>
      <c r="B5418" t="str">
        <f>"SEAL KIT-OIL,SE"</f>
        <v>SEAL KIT-OIL,SE</v>
      </c>
      <c r="C5418">
        <v>10</v>
      </c>
      <c r="D5418">
        <v>819.67199999999991</v>
      </c>
    </row>
    <row r="5419" spans="1:4">
      <c r="A5419" t="str">
        <f>"49359-AA000"</f>
        <v>49359-AA000</v>
      </c>
      <c r="B5419" t="str">
        <f>"SEAL-O RING"</f>
        <v>SEAL-O RING</v>
      </c>
      <c r="C5419">
        <v>6</v>
      </c>
      <c r="D5419">
        <v>108.52799999999999</v>
      </c>
    </row>
    <row r="5420" spans="1:4">
      <c r="A5420" t="str">
        <f>"49359-CA000"</f>
        <v>49359-CA000</v>
      </c>
      <c r="B5420" t="str">
        <f>"Уплотнительное кольц"</f>
        <v>Уплотнительное кольц</v>
      </c>
      <c r="C5420">
        <v>0</v>
      </c>
      <c r="D5420">
        <v>105.672</v>
      </c>
    </row>
    <row r="5421" spans="1:4">
      <c r="A5421" t="str">
        <f>"49365-0W025"</f>
        <v>49365-0W025</v>
      </c>
      <c r="B5421" t="str">
        <f>"SEAL KIT-OIL,RE"</f>
        <v>SEAL KIT-OIL,RE</v>
      </c>
      <c r="C5421">
        <v>8</v>
      </c>
      <c r="D5421">
        <v>459.81599999999997</v>
      </c>
    </row>
    <row r="5422" spans="1:4">
      <c r="A5422" t="str">
        <f>"49591-6C925"</f>
        <v>49591-6C925</v>
      </c>
      <c r="B5422" t="str">
        <f>"SEAL KIT-POWER"</f>
        <v>SEAL KIT-POWER</v>
      </c>
      <c r="C5422">
        <v>40</v>
      </c>
      <c r="D5422">
        <v>485.52</v>
      </c>
    </row>
    <row r="5423" spans="1:4">
      <c r="A5423" t="str">
        <f>"49591-VE425"</f>
        <v>49591-VE425</v>
      </c>
      <c r="B5423" t="str">
        <f>"SEAL KIT-POWER"</f>
        <v>SEAL KIT-POWER</v>
      </c>
      <c r="C5423">
        <v>16</v>
      </c>
      <c r="D5423">
        <v>491.23199999999997</v>
      </c>
    </row>
    <row r="5424" spans="1:4">
      <c r="A5424" t="str">
        <f>"49710-9FE0A"</f>
        <v>49710-9FE0A</v>
      </c>
      <c r="B5424" t="str">
        <f>"Шланг+трубка"</f>
        <v>Шланг+трубка</v>
      </c>
      <c r="C5424">
        <v>18</v>
      </c>
      <c r="D5424">
        <v>6938.8559999999998</v>
      </c>
    </row>
    <row r="5425" spans="1:4">
      <c r="A5425" t="str">
        <f>"49710-VB310"</f>
        <v>49710-VB310</v>
      </c>
      <c r="B5425" t="str">
        <f>"HOSE &amp; TUBE SET"</f>
        <v>HOSE &amp; TUBE SET</v>
      </c>
      <c r="C5425">
        <v>2</v>
      </c>
      <c r="D5425">
        <v>5110.2</v>
      </c>
    </row>
    <row r="5426" spans="1:4">
      <c r="A5426" t="str">
        <f>"49717-2Y900"</f>
        <v>49717-2Y900</v>
      </c>
      <c r="B5426" t="str">
        <f>"HOSE ASSY-SUCTI"</f>
        <v>HOSE ASSY-SUCTI</v>
      </c>
      <c r="C5426">
        <v>5</v>
      </c>
      <c r="D5426">
        <v>1852.7280000000001</v>
      </c>
    </row>
    <row r="5427" spans="1:4">
      <c r="A5427" t="str">
        <f>"49717-AV700"</f>
        <v>49717-AV700</v>
      </c>
      <c r="B5427" t="str">
        <f>"HOSE ASSY-SUCTI"</f>
        <v>HOSE ASSY-SUCTI</v>
      </c>
      <c r="C5427">
        <v>1</v>
      </c>
      <c r="D5427">
        <v>1218.288</v>
      </c>
    </row>
    <row r="5428" spans="1:4">
      <c r="A5428" t="str">
        <f>"49717-AV710"</f>
        <v>49717-AV710</v>
      </c>
      <c r="B5428" t="str">
        <f>"HOSE ASSY-SUCTI"</f>
        <v>HOSE ASSY-SUCTI</v>
      </c>
      <c r="C5428">
        <v>3</v>
      </c>
      <c r="D5428">
        <v>670.75200000000007</v>
      </c>
    </row>
    <row r="5429" spans="1:4">
      <c r="A5429" t="str">
        <f>"49717-AV711"</f>
        <v>49717-AV711</v>
      </c>
      <c r="B5429" t="str">
        <f>"HOSE ASSY-SUCTI"</f>
        <v>HOSE ASSY-SUCTI</v>
      </c>
      <c r="C5429">
        <v>2</v>
      </c>
      <c r="D5429">
        <v>993.4799999999999</v>
      </c>
    </row>
    <row r="5430" spans="1:4">
      <c r="A5430" t="str">
        <f>"49717-BN810"</f>
        <v>49717-BN810</v>
      </c>
      <c r="B5430" t="str">
        <f>"HOSE ASSY-SUCTI"</f>
        <v>HOSE ASSY-SUCTI</v>
      </c>
      <c r="C5430">
        <v>4</v>
      </c>
      <c r="D5430">
        <v>1153.4159999999999</v>
      </c>
    </row>
    <row r="5431" spans="1:4">
      <c r="A5431" t="str">
        <f>"49717-CA000"</f>
        <v>49717-CA000</v>
      </c>
      <c r="B5431" t="str">
        <f>"Шланг с трубкой гидр"</f>
        <v>Шланг с трубкой гидр</v>
      </c>
      <c r="C5431">
        <v>11</v>
      </c>
      <c r="D5431">
        <v>1270.9199999999998</v>
      </c>
    </row>
    <row r="5432" spans="1:4">
      <c r="A5432" t="str">
        <f>"49718-95F0A"</f>
        <v>49718-95F0A</v>
      </c>
      <c r="B5432" t="str">
        <f>"Трубка гидроусилител"</f>
        <v>Трубка гидроусилител</v>
      </c>
      <c r="C5432">
        <v>6</v>
      </c>
      <c r="D5432">
        <v>3519</v>
      </c>
    </row>
    <row r="5433" spans="1:4">
      <c r="A5433" t="str">
        <f>"49720-2Y90A"</f>
        <v>49720-2Y90A</v>
      </c>
      <c r="B5433" t="str">
        <f>"Шланг с трубкой"</f>
        <v>Шланг с трубкой</v>
      </c>
      <c r="C5433">
        <v>3</v>
      </c>
      <c r="D5433">
        <v>8573.3040000000001</v>
      </c>
    </row>
    <row r="5434" spans="1:4">
      <c r="A5434" t="str">
        <f>"49720-7S000"</f>
        <v>49720-7S000</v>
      </c>
      <c r="B5434" t="str">
        <f>"Шланг с трубкой гидр"</f>
        <v>Шланг с трубкой гидр</v>
      </c>
      <c r="C5434">
        <v>8</v>
      </c>
      <c r="D5434">
        <v>6069</v>
      </c>
    </row>
    <row r="5435" spans="1:4">
      <c r="A5435" t="str">
        <f>"49720-7S00A"</f>
        <v>49720-7S00A</v>
      </c>
      <c r="B5435" t="str">
        <f>"HOSE &amp; TUBE ASS"</f>
        <v>HOSE &amp; TUBE ASS</v>
      </c>
      <c r="C5435">
        <v>0</v>
      </c>
      <c r="D5435">
        <v>6069</v>
      </c>
    </row>
    <row r="5436" spans="1:4">
      <c r="A5436" t="str">
        <f>"49720-9W61A"</f>
        <v>49720-9W61A</v>
      </c>
      <c r="B5436" t="str">
        <f>"Шланг с трубкой гидр"</f>
        <v>Шланг с трубкой гидр</v>
      </c>
      <c r="C5436">
        <v>58</v>
      </c>
      <c r="D5436">
        <v>8607.5759999999991</v>
      </c>
    </row>
    <row r="5437" spans="1:4">
      <c r="A5437" t="str">
        <f>"49720-AV603"</f>
        <v>49720-AV603</v>
      </c>
      <c r="B5437" t="str">
        <f>"HOSE &amp; TUBE ASS"</f>
        <v>HOSE &amp; TUBE ASS</v>
      </c>
      <c r="C5437">
        <v>5</v>
      </c>
      <c r="D5437">
        <v>6388.8720000000003</v>
      </c>
    </row>
    <row r="5438" spans="1:4">
      <c r="A5438" t="str">
        <f>"49720-AV60A"</f>
        <v>49720-AV60A</v>
      </c>
      <c r="B5438" t="str">
        <f>"Шланг с трубкой гидр"</f>
        <v>Шланг с трубкой гидр</v>
      </c>
      <c r="C5438">
        <v>3</v>
      </c>
      <c r="D5438">
        <v>6100.0079999999998</v>
      </c>
    </row>
    <row r="5439" spans="1:4">
      <c r="A5439" t="str">
        <f>"49720-AV61A"</f>
        <v>49720-AV61A</v>
      </c>
      <c r="B5439" t="str">
        <f>"Шланг с трубкой гидр"</f>
        <v>Шланг с трубкой гидр</v>
      </c>
      <c r="C5439">
        <v>7</v>
      </c>
      <c r="D5439">
        <v>7141.2240000000002</v>
      </c>
    </row>
    <row r="5440" spans="1:4">
      <c r="A5440" t="str">
        <f>"49720-AV701"</f>
        <v>49720-AV701</v>
      </c>
      <c r="B5440" t="str">
        <f>"HOSE ASSY-CONTR"</f>
        <v>HOSE ASSY-CONTR</v>
      </c>
      <c r="C5440">
        <v>0</v>
      </c>
      <c r="D5440">
        <v>3356.6159999999995</v>
      </c>
    </row>
    <row r="5441" spans="1:4">
      <c r="A5441" t="str">
        <f>"49720-CC10A"</f>
        <v>49720-CC10A</v>
      </c>
      <c r="B5441" t="str">
        <f>"Шланг с трубкой гидр"</f>
        <v>Шланг с трубкой гидр</v>
      </c>
      <c r="C5441">
        <v>9</v>
      </c>
      <c r="D5441">
        <v>8231.8079999999991</v>
      </c>
    </row>
    <row r="5442" spans="1:4">
      <c r="A5442" t="str">
        <f>"49721-1M210"</f>
        <v>49721-1M210</v>
      </c>
      <c r="B5442" t="str">
        <f>"HOSE &amp; TUBE ASS"</f>
        <v>HOSE &amp; TUBE ASS</v>
      </c>
      <c r="C5442">
        <v>1</v>
      </c>
      <c r="D5442">
        <v>1836</v>
      </c>
    </row>
    <row r="5443" spans="1:4">
      <c r="A5443" t="str">
        <f>"49721-2Y02A"</f>
        <v>49721-2Y02A</v>
      </c>
      <c r="B5443" t="str">
        <f>"Шланг с трубкой гидр"</f>
        <v>Шланг с трубкой гидр</v>
      </c>
      <c r="C5443">
        <v>1</v>
      </c>
      <c r="D5443">
        <v>4002.8879999999995</v>
      </c>
    </row>
    <row r="5444" spans="1:4">
      <c r="A5444" t="str">
        <f>"49721-40U20"</f>
        <v>49721-40U20</v>
      </c>
      <c r="B5444" t="str">
        <f>"HOSE &amp; TUBE ASS"</f>
        <v>HOSE &amp; TUBE ASS</v>
      </c>
      <c r="C5444">
        <v>3</v>
      </c>
      <c r="D5444">
        <v>1691.1599999999999</v>
      </c>
    </row>
    <row r="5445" spans="1:4">
      <c r="A5445" t="str">
        <f>"49721-7S000"</f>
        <v>49721-7S000</v>
      </c>
      <c r="B5445" t="str">
        <f t="shared" ref="B5445:B5451" si="104">"Шланг с трубкой гидр"</f>
        <v>Шланг с трубкой гидр</v>
      </c>
      <c r="C5445">
        <v>3</v>
      </c>
      <c r="D5445">
        <v>1164.432</v>
      </c>
    </row>
    <row r="5446" spans="1:4">
      <c r="A5446" t="str">
        <f>"49721-7S001"</f>
        <v>49721-7S001</v>
      </c>
      <c r="B5446" t="str">
        <f t="shared" si="104"/>
        <v>Шланг с трубкой гидр</v>
      </c>
      <c r="C5446">
        <v>8</v>
      </c>
      <c r="D5446">
        <v>2585.904</v>
      </c>
    </row>
    <row r="5447" spans="1:4">
      <c r="A5447" t="str">
        <f>"49721-8H31A"</f>
        <v>49721-8H31A</v>
      </c>
      <c r="B5447" t="str">
        <f t="shared" si="104"/>
        <v>Шланг с трубкой гидр</v>
      </c>
      <c r="C5447">
        <v>2</v>
      </c>
      <c r="D5447">
        <v>2041.2239999999999</v>
      </c>
    </row>
    <row r="5448" spans="1:4">
      <c r="A5448" t="str">
        <f>"49721-95F0A"</f>
        <v>49721-95F0A</v>
      </c>
      <c r="B5448" t="str">
        <f t="shared" si="104"/>
        <v>Шланг с трубкой гидр</v>
      </c>
      <c r="C5448">
        <v>6</v>
      </c>
      <c r="D5448">
        <v>6192.6240000000007</v>
      </c>
    </row>
    <row r="5449" spans="1:4">
      <c r="A5449" t="str">
        <f>"49721-9W60A"</f>
        <v>49721-9W60A</v>
      </c>
      <c r="B5449" t="str">
        <f t="shared" si="104"/>
        <v>Шланг с трубкой гидр</v>
      </c>
      <c r="C5449">
        <v>10</v>
      </c>
      <c r="D5449">
        <v>3619.3679999999999</v>
      </c>
    </row>
    <row r="5450" spans="1:4">
      <c r="A5450" t="str">
        <f>"49721-9Y01A"</f>
        <v>49721-9Y01A</v>
      </c>
      <c r="B5450" t="str">
        <f t="shared" si="104"/>
        <v>Шланг с трубкой гидр</v>
      </c>
      <c r="C5450">
        <v>5</v>
      </c>
      <c r="D5450">
        <v>1895.568</v>
      </c>
    </row>
    <row r="5451" spans="1:4">
      <c r="A5451" t="str">
        <f>"49721-CA01A"</f>
        <v>49721-CA01A</v>
      </c>
      <c r="B5451" t="str">
        <f t="shared" si="104"/>
        <v>Шланг с трубкой гидр</v>
      </c>
      <c r="C5451">
        <v>15</v>
      </c>
      <c r="D5451">
        <v>2869.8719999999998</v>
      </c>
    </row>
    <row r="5452" spans="1:4">
      <c r="A5452" t="str">
        <f>"49725-0N000"</f>
        <v>49725-0N000</v>
      </c>
      <c r="B5452" t="str">
        <f>"HOSE-RETURN,P/S"</f>
        <v>HOSE-RETURN,P/S</v>
      </c>
      <c r="C5452">
        <v>0</v>
      </c>
      <c r="D5452">
        <v>659.73599999999999</v>
      </c>
    </row>
    <row r="5453" spans="1:4">
      <c r="A5453" t="str">
        <f>"49725-31U10"</f>
        <v>49725-31U10</v>
      </c>
      <c r="B5453" t="str">
        <f>"HOSE-RETURN,P/S"</f>
        <v>HOSE-RETURN,P/S</v>
      </c>
      <c r="C5453">
        <v>1</v>
      </c>
      <c r="D5453">
        <v>692.37599999999998</v>
      </c>
    </row>
    <row r="5454" spans="1:4">
      <c r="A5454" t="str">
        <f>"49725-31U11"</f>
        <v>49725-31U11</v>
      </c>
      <c r="B5454" t="str">
        <f>"HOSE-RETURN,P/S"</f>
        <v>HOSE-RETURN,P/S</v>
      </c>
      <c r="C5454">
        <v>0</v>
      </c>
      <c r="D5454">
        <v>692.78399999999999</v>
      </c>
    </row>
    <row r="5455" spans="1:4">
      <c r="A5455" t="str">
        <f>"49725-9Y002"</f>
        <v>49725-9Y002</v>
      </c>
      <c r="B5455" t="str">
        <f>"Шланг гидроусилителя"</f>
        <v>Шланг гидроусилителя</v>
      </c>
      <c r="C5455">
        <v>0</v>
      </c>
      <c r="D5455">
        <v>700.94399999999996</v>
      </c>
    </row>
    <row r="5456" spans="1:4">
      <c r="A5456" t="str">
        <f>"49725-AV603"</f>
        <v>49725-AV603</v>
      </c>
      <c r="B5456" t="str">
        <f>"HOSE-RETURN,POW"</f>
        <v>HOSE-RETURN,POW</v>
      </c>
      <c r="C5456">
        <v>6</v>
      </c>
      <c r="D5456">
        <v>656.47199999999987</v>
      </c>
    </row>
    <row r="5457" spans="1:4">
      <c r="A5457" t="str">
        <f>"49725-CA010"</f>
        <v>49725-CA010</v>
      </c>
      <c r="B5457" t="str">
        <f>"Шланг гидроусилителя"</f>
        <v>Шланг гидроусилителя</v>
      </c>
      <c r="C5457">
        <v>2</v>
      </c>
      <c r="D5457">
        <v>723.38400000000001</v>
      </c>
    </row>
    <row r="5458" spans="1:4">
      <c r="A5458" t="str">
        <f>"49725-VD344"</f>
        <v>49725-VD344</v>
      </c>
      <c r="B5458" t="str">
        <f>"Шланг гидроусилителя"</f>
        <v>Шланг гидроусилителя</v>
      </c>
      <c r="C5458">
        <v>0</v>
      </c>
      <c r="D5458">
        <v>613.22399999999993</v>
      </c>
    </row>
    <row r="5459" spans="1:4">
      <c r="A5459" t="str">
        <f>"49725-VK100"</f>
        <v>49725-VK100</v>
      </c>
      <c r="B5459" t="str">
        <f>"HOSE-RETURN.POW"</f>
        <v>HOSE-RETURN.POW</v>
      </c>
      <c r="C5459">
        <v>0</v>
      </c>
      <c r="D5459">
        <v>709.51199999999994</v>
      </c>
    </row>
    <row r="5460" spans="1:4">
      <c r="A5460" t="str">
        <f>"49726-50W00"</f>
        <v>49726-50W00</v>
      </c>
      <c r="B5460" t="str">
        <f>"WASHER-LOCK"</f>
        <v>WASHER-LOCK</v>
      </c>
      <c r="C5460">
        <v>2</v>
      </c>
      <c r="D5460">
        <v>56.304000000000002</v>
      </c>
    </row>
    <row r="5461" spans="1:4">
      <c r="A5461" t="str">
        <f>"49726-Y0100"</f>
        <v>49726-Y0100</v>
      </c>
      <c r="B5461" t="str">
        <f>"GASKET-CONN"</f>
        <v>GASKET-CONN</v>
      </c>
      <c r="C5461">
        <v>29</v>
      </c>
      <c r="D5461">
        <v>49.368000000000002</v>
      </c>
    </row>
    <row r="5462" spans="1:4">
      <c r="A5462" t="str">
        <f>"49729-2J00B"</f>
        <v>49729-2J00B</v>
      </c>
      <c r="B5462" t="str">
        <f>"Хомут трубки"</f>
        <v>Хомут трубки</v>
      </c>
      <c r="C5462">
        <v>0</v>
      </c>
      <c r="D5462">
        <v>57.12</v>
      </c>
    </row>
    <row r="5463" spans="1:4">
      <c r="A5463" t="str">
        <f>"49745-01E00"</f>
        <v>49745-01E00</v>
      </c>
      <c r="B5463" t="str">
        <f>"O RING"</f>
        <v>O RING</v>
      </c>
      <c r="C5463">
        <v>15</v>
      </c>
      <c r="D5463">
        <v>46.511999999999993</v>
      </c>
    </row>
    <row r="5464" spans="1:4">
      <c r="A5464" t="str">
        <f>"49763-6N20A"</f>
        <v>49763-6N20A</v>
      </c>
      <c r="B5464" t="str">
        <f>"Датчик давления сист"</f>
        <v>Датчик давления сист</v>
      </c>
      <c r="C5464">
        <v>17</v>
      </c>
      <c r="D5464">
        <v>3173.0159999999996</v>
      </c>
    </row>
    <row r="5465" spans="1:4">
      <c r="A5465" t="str">
        <f>"49763-95F0A"</f>
        <v>49763-95F0A</v>
      </c>
      <c r="B5465" t="str">
        <f>"Датчик давления сист"</f>
        <v>Датчик давления сист</v>
      </c>
      <c r="C5465">
        <v>10</v>
      </c>
      <c r="D5465">
        <v>2448</v>
      </c>
    </row>
    <row r="5466" spans="1:4">
      <c r="A5466" t="str">
        <f>"49763-WL000"</f>
        <v>49763-WL000</v>
      </c>
      <c r="B5466" t="str">
        <f>"Датчик давления гидр"</f>
        <v>Датчик давления гидр</v>
      </c>
      <c r="C5466">
        <v>2</v>
      </c>
      <c r="D5466">
        <v>3196.2719999999999</v>
      </c>
    </row>
    <row r="5467" spans="1:4">
      <c r="A5467" t="str">
        <f>"49790-31U10"</f>
        <v>49790-31U10</v>
      </c>
      <c r="B5467" t="str">
        <f>"TUBE A-P/STRG"</f>
        <v>TUBE A-P/STRG</v>
      </c>
      <c r="C5467">
        <v>0</v>
      </c>
      <c r="D5467">
        <v>2732.7840000000001</v>
      </c>
    </row>
    <row r="5468" spans="1:4">
      <c r="A5468" t="str">
        <f>"49790-4W00A"</f>
        <v>49790-4W00A</v>
      </c>
      <c r="B5468" t="str">
        <f>"Трубка охлаждения ма"</f>
        <v>Трубка охлаждения ма</v>
      </c>
      <c r="C5468">
        <v>3</v>
      </c>
      <c r="D5468">
        <v>3598.9679999999998</v>
      </c>
    </row>
    <row r="5469" spans="1:4">
      <c r="A5469" t="str">
        <f>"49790-4Y30A"</f>
        <v>49790-4Y30A</v>
      </c>
      <c r="B5469" t="str">
        <f>"Трубка охлаждения ма"</f>
        <v>Трубка охлаждения ма</v>
      </c>
      <c r="C5469">
        <v>5</v>
      </c>
      <c r="D5469">
        <v>2465.5439999999999</v>
      </c>
    </row>
    <row r="5470" spans="1:4">
      <c r="A5470" t="str">
        <f>"49790-9Y000"</f>
        <v>49790-9Y000</v>
      </c>
      <c r="B5470" t="str">
        <f>"Трубка охлаждения ма"</f>
        <v>Трубка охлаждения ма</v>
      </c>
      <c r="C5470">
        <v>2</v>
      </c>
      <c r="D5470">
        <v>3759.72</v>
      </c>
    </row>
    <row r="5471" spans="1:4">
      <c r="A5471" t="str">
        <f>"49790-CA01A"</f>
        <v>49790-CA01A</v>
      </c>
      <c r="B5471" t="str">
        <f>"Охладитель масла"</f>
        <v>Охладитель масла</v>
      </c>
      <c r="C5471">
        <v>2</v>
      </c>
      <c r="D5471">
        <v>2682.1919999999996</v>
      </c>
    </row>
    <row r="5472" spans="1:4">
      <c r="A5472" t="str">
        <f>"49790-CG000"</f>
        <v>49790-CG000</v>
      </c>
      <c r="B5472" t="str">
        <f>"Трубка охлаждени"</f>
        <v>Трубка охлаждени</v>
      </c>
      <c r="C5472">
        <v>1</v>
      </c>
      <c r="D5472">
        <v>4880.0879999999997</v>
      </c>
    </row>
    <row r="5473" spans="1:4">
      <c r="A5473" t="str">
        <f>"49790-VS40A"</f>
        <v>49790-VS40A</v>
      </c>
      <c r="B5473" t="str">
        <f>"Трубка охлаждения жи"</f>
        <v>Трубка охлаждения жи</v>
      </c>
      <c r="C5473">
        <v>0</v>
      </c>
      <c r="D5473">
        <v>4002.0719999999997</v>
      </c>
    </row>
    <row r="5474" spans="1:4">
      <c r="A5474" t="str">
        <f>"49790-VS41B"</f>
        <v>49790-VS41B</v>
      </c>
      <c r="B5474" t="str">
        <f>"Трубка гидроусилител"</f>
        <v>Трубка гидроусилител</v>
      </c>
      <c r="C5474">
        <v>0</v>
      </c>
      <c r="D5474">
        <v>5361.5279999999993</v>
      </c>
    </row>
    <row r="5475" spans="1:4">
      <c r="A5475" t="str">
        <f>"49791-1AA0A"</f>
        <v>49791-1AA0A</v>
      </c>
      <c r="B5475" t="str">
        <f>"Пистон трубки"</f>
        <v>Пистон трубки</v>
      </c>
      <c r="C5475">
        <v>14</v>
      </c>
      <c r="D5475">
        <v>231.33599999999998</v>
      </c>
    </row>
    <row r="5476" spans="1:4">
      <c r="A5476" t="str">
        <f>"50810-EB70A"</f>
        <v>50810-EB70A</v>
      </c>
      <c r="B5476" t="str">
        <f>"Кожух моторного отсе"</f>
        <v>Кожух моторного отсе</v>
      </c>
      <c r="C5476">
        <v>0</v>
      </c>
      <c r="D5476">
        <v>3055.1039999999998</v>
      </c>
    </row>
    <row r="5477" spans="1:4">
      <c r="A5477" t="str">
        <f>"50810-VB000"</f>
        <v>50810-VB000</v>
      </c>
      <c r="B5477" t="str">
        <f>"COVER-FR UNDER"</f>
        <v>COVER-FR UNDER</v>
      </c>
      <c r="C5477">
        <v>1</v>
      </c>
      <c r="D5477">
        <v>3869.88</v>
      </c>
    </row>
    <row r="5478" spans="1:4">
      <c r="A5478" t="str">
        <f>"50810-VB00A"</f>
        <v>50810-VB00A</v>
      </c>
      <c r="B5478" t="str">
        <f>"Кожух моторного отсе"</f>
        <v>Кожух моторного отсе</v>
      </c>
      <c r="C5478">
        <v>2</v>
      </c>
      <c r="D5478">
        <v>3869.88</v>
      </c>
    </row>
    <row r="5479" spans="1:4">
      <c r="A5479" t="str">
        <f>"50811-EB32A"</f>
        <v>50811-EB32A</v>
      </c>
      <c r="B5479" t="str">
        <f>"Кожух моторного отсе"</f>
        <v>Кожух моторного отсе</v>
      </c>
      <c r="C5479">
        <v>0</v>
      </c>
      <c r="D5479">
        <v>9151.0319999999992</v>
      </c>
    </row>
    <row r="5480" spans="1:4">
      <c r="A5480" t="str">
        <f>"51110-BM400"</f>
        <v>51110-BM400</v>
      </c>
      <c r="B5480" t="str">
        <f>"HOOK-TOWING,FRO"</f>
        <v>HOOK-TOWING,FRO</v>
      </c>
      <c r="C5480">
        <v>1</v>
      </c>
      <c r="D5480">
        <v>1252.152</v>
      </c>
    </row>
    <row r="5481" spans="1:4">
      <c r="A5481" t="str">
        <f>"51112-AC70A"</f>
        <v>51112-AC70A</v>
      </c>
      <c r="B5481" t="str">
        <f>"Крюк буксировочн"</f>
        <v>Крюк буксировочн</v>
      </c>
      <c r="C5481">
        <v>1</v>
      </c>
      <c r="D5481">
        <v>1341.912</v>
      </c>
    </row>
    <row r="5482" spans="1:4">
      <c r="A5482" t="str">
        <f>"52780-3Y50A"</f>
        <v>52780-3Y50A</v>
      </c>
      <c r="B5482" t="str">
        <f>"Тяга электрокорректо"</f>
        <v>Тяга электрокорректо</v>
      </c>
      <c r="C5482">
        <v>24</v>
      </c>
      <c r="D5482">
        <v>2510.0159999999996</v>
      </c>
    </row>
    <row r="5483" spans="1:4">
      <c r="A5483" t="str">
        <f>"52781-3Y50A"</f>
        <v>52781-3Y50A</v>
      </c>
      <c r="B5483" t="str">
        <f>"Тяга электрокорректо"</f>
        <v>Тяга электрокорректо</v>
      </c>
      <c r="C5483">
        <v>20</v>
      </c>
      <c r="D5483">
        <v>2476.152</v>
      </c>
    </row>
    <row r="5484" spans="1:4">
      <c r="A5484" t="str">
        <f>"53400-7S600"</f>
        <v>53400-7S600</v>
      </c>
      <c r="B5484" t="str">
        <f>"Компрессор подве"</f>
        <v>Компрессор подве</v>
      </c>
      <c r="C5484">
        <v>5</v>
      </c>
      <c r="D5484">
        <v>16186.175999999999</v>
      </c>
    </row>
    <row r="5485" spans="1:4">
      <c r="A5485" t="str">
        <f>"53820-3Y50B"</f>
        <v>53820-3Y50B</v>
      </c>
      <c r="B5485" t="str">
        <f>"Датчик регулировки с"</f>
        <v>Датчик регулировки с</v>
      </c>
      <c r="C5485">
        <v>7</v>
      </c>
      <c r="D5485">
        <v>7830.3359999999993</v>
      </c>
    </row>
    <row r="5486" spans="1:4">
      <c r="A5486" t="str">
        <f>"53821-3Y50B"</f>
        <v>53821-3Y50B</v>
      </c>
      <c r="B5486" t="str">
        <f>"Датчик корректора фа"</f>
        <v>Датчик корректора фа</v>
      </c>
      <c r="C5486">
        <v>4</v>
      </c>
      <c r="D5486">
        <v>7504.3439999999991</v>
      </c>
    </row>
    <row r="5487" spans="1:4">
      <c r="A5487" t="str">
        <f>"54010-2Y112"</f>
        <v>54010-2Y112</v>
      </c>
      <c r="B5487" t="str">
        <f>"SPRING-FRONT"</f>
        <v>SPRING-FRONT</v>
      </c>
      <c r="C5487">
        <v>1</v>
      </c>
      <c r="D5487">
        <v>5865</v>
      </c>
    </row>
    <row r="5488" spans="1:4">
      <c r="A5488" t="str">
        <f>"54010-5Y703"</f>
        <v>54010-5Y703</v>
      </c>
      <c r="B5488" t="str">
        <f>"SPRING-FRONT"</f>
        <v>SPRING-FRONT</v>
      </c>
      <c r="C5488">
        <v>10</v>
      </c>
      <c r="D5488">
        <v>5611.2240000000002</v>
      </c>
    </row>
    <row r="5489" spans="1:4">
      <c r="A5489" t="str">
        <f>"54010-5Y704"</f>
        <v>54010-5Y704</v>
      </c>
      <c r="B5489" t="str">
        <f>"SPRING-FRONT"</f>
        <v>SPRING-FRONT</v>
      </c>
      <c r="C5489">
        <v>1</v>
      </c>
      <c r="D5489">
        <v>5599.8</v>
      </c>
    </row>
    <row r="5490" spans="1:4">
      <c r="A5490" t="str">
        <f>"54010-7S102"</f>
        <v>54010-7S102</v>
      </c>
      <c r="B5490" t="str">
        <f>"Болт рычага подвески"</f>
        <v>Болт рычага подвески</v>
      </c>
      <c r="C5490">
        <v>0</v>
      </c>
      <c r="D5490">
        <v>5472.5039999999999</v>
      </c>
    </row>
    <row r="5491" spans="1:4">
      <c r="A5491" t="str">
        <f>"54010-8H760"</f>
        <v>54010-8H760</v>
      </c>
      <c r="B5491" t="str">
        <f>"SPRING-FRONT"</f>
        <v>SPRING-FRONT</v>
      </c>
      <c r="C5491">
        <v>9</v>
      </c>
      <c r="D5491">
        <v>4951.8959999999997</v>
      </c>
    </row>
    <row r="5492" spans="1:4">
      <c r="A5492" t="str">
        <f>"54010-9U01B"</f>
        <v>54010-9U01B</v>
      </c>
      <c r="B5492" t="str">
        <f>"Пружина передней под"</f>
        <v>Пружина передней под</v>
      </c>
      <c r="C5492">
        <v>0</v>
      </c>
      <c r="D5492">
        <v>4000.4399999999996</v>
      </c>
    </row>
    <row r="5493" spans="1:4">
      <c r="A5493" t="str">
        <f>"54010-9W50A"</f>
        <v>54010-9W50A</v>
      </c>
      <c r="B5493" t="str">
        <f>"Пружина подвески пер"</f>
        <v>Пружина подвески пер</v>
      </c>
      <c r="C5493">
        <v>6</v>
      </c>
      <c r="D5493">
        <v>5791.152</v>
      </c>
    </row>
    <row r="5494" spans="1:4">
      <c r="A5494" t="str">
        <f>"54010-9W50B"</f>
        <v>54010-9W50B</v>
      </c>
      <c r="B5494" t="str">
        <f>"Пружина подвески пер"</f>
        <v>Пружина подвески пер</v>
      </c>
      <c r="C5494">
        <v>18</v>
      </c>
      <c r="D5494">
        <v>5769.5279999999993</v>
      </c>
    </row>
    <row r="5495" spans="1:4">
      <c r="A5495" t="str">
        <f>"54010-BM402"</f>
        <v>54010-BM402</v>
      </c>
      <c r="B5495" t="str">
        <f>"SPRING-FRONT"</f>
        <v>SPRING-FRONT</v>
      </c>
      <c r="C5495">
        <v>4</v>
      </c>
      <c r="D5495">
        <v>4590.4080000000004</v>
      </c>
    </row>
    <row r="5496" spans="1:4">
      <c r="A5496" t="str">
        <f>"54010-JD02D"</f>
        <v>54010-JD02D</v>
      </c>
      <c r="B5496" t="str">
        <f>"SPRING-FRONT"</f>
        <v>SPRING-FRONT</v>
      </c>
      <c r="C5496">
        <v>0</v>
      </c>
      <c r="D5496">
        <v>6013.5119999999997</v>
      </c>
    </row>
    <row r="5497" spans="1:4">
      <c r="A5497" t="str">
        <f>"54010-JN00C"</f>
        <v>54010-JN00C</v>
      </c>
      <c r="B5497" t="str">
        <f>"SPRING-FRONT"</f>
        <v>SPRING-FRONT</v>
      </c>
      <c r="C5497">
        <v>0</v>
      </c>
      <c r="D5497">
        <v>5651.616</v>
      </c>
    </row>
    <row r="5498" spans="1:4">
      <c r="A5498" t="str">
        <f>"54033-7F000"</f>
        <v>54033-7F000</v>
      </c>
      <c r="B5498" t="str">
        <f>"COVER-DUST,TORS"</f>
        <v>COVER-DUST,TORS</v>
      </c>
      <c r="C5498">
        <v>11</v>
      </c>
      <c r="D5498">
        <v>151.36799999999999</v>
      </c>
    </row>
    <row r="5499" spans="1:4">
      <c r="A5499" t="str">
        <f>"54034-31U20"</f>
        <v>54034-31U20</v>
      </c>
      <c r="B5499" t="str">
        <f>"SEAT-RUBBER"</f>
        <v>SEAT-RUBBER</v>
      </c>
      <c r="C5499">
        <v>9</v>
      </c>
      <c r="D5499">
        <v>378.62399999999997</v>
      </c>
    </row>
    <row r="5500" spans="1:4">
      <c r="A5500" t="str">
        <f>"54034-4U000"</f>
        <v>54034-4U000</v>
      </c>
      <c r="B5500" t="str">
        <f>"SEAT-RUBBER,FRO"</f>
        <v>SEAT-RUBBER,FRO</v>
      </c>
      <c r="C5500">
        <v>3</v>
      </c>
      <c r="D5500">
        <v>314.56799999999998</v>
      </c>
    </row>
    <row r="5501" spans="1:4">
      <c r="A5501" t="str">
        <f>"54034-85E10"</f>
        <v>54034-85E10</v>
      </c>
      <c r="B5501" t="str">
        <f>"SEAT-RUBBER FRO"</f>
        <v>SEAT-RUBBER FRO</v>
      </c>
      <c r="C5501">
        <v>14</v>
      </c>
      <c r="D5501">
        <v>314.56799999999998</v>
      </c>
    </row>
    <row r="5502" spans="1:4">
      <c r="A5502" t="str">
        <f>"54034-8H500"</f>
        <v>54034-8H500</v>
      </c>
      <c r="B5502" t="str">
        <f>"SEAT-RUBBER,REA"</f>
        <v>SEAT-RUBBER,REA</v>
      </c>
      <c r="C5502">
        <v>0</v>
      </c>
      <c r="D5502">
        <v>454.512</v>
      </c>
    </row>
    <row r="5503" spans="1:4">
      <c r="A5503" t="str">
        <f>"54034-9F500"</f>
        <v>54034-9F500</v>
      </c>
      <c r="B5503" t="str">
        <f>"SEAT-RUBBER"</f>
        <v>SEAT-RUBBER</v>
      </c>
      <c r="C5503">
        <v>4</v>
      </c>
      <c r="D5503">
        <v>404.73599999999993</v>
      </c>
    </row>
    <row r="5504" spans="1:4">
      <c r="A5504" t="str">
        <f>"54034-AG001"</f>
        <v>54034-AG001</v>
      </c>
      <c r="B5504" t="str">
        <f>"SEAT-RUBBER,FRO"</f>
        <v>SEAT-RUBBER,FRO</v>
      </c>
      <c r="C5504">
        <v>13</v>
      </c>
      <c r="D5504">
        <v>301.10399999999998</v>
      </c>
    </row>
    <row r="5505" spans="1:4">
      <c r="A5505" t="str">
        <f>"54034-AV600"</f>
        <v>54034-AV600</v>
      </c>
      <c r="B5505" t="str">
        <f>"SPACER-SEAT,RH"</f>
        <v>SPACER-SEAT,RH</v>
      </c>
      <c r="C5505">
        <v>4</v>
      </c>
      <c r="D5505">
        <v>577.32000000000005</v>
      </c>
    </row>
    <row r="5506" spans="1:4">
      <c r="A5506" t="str">
        <f>"54034-BM400"</f>
        <v>54034-BM400</v>
      </c>
      <c r="B5506" t="str">
        <f>"SPACER-SEAT,RH"</f>
        <v>SPACER-SEAT,RH</v>
      </c>
      <c r="C5506">
        <v>4</v>
      </c>
      <c r="D5506">
        <v>1096.704</v>
      </c>
    </row>
    <row r="5507" spans="1:4">
      <c r="A5507" t="str">
        <f>"54034-CK000"</f>
        <v>54034-CK000</v>
      </c>
      <c r="B5507" t="str">
        <f>"Опора пружины"</f>
        <v>Опора пружины</v>
      </c>
      <c r="C5507">
        <v>4</v>
      </c>
      <c r="D5507">
        <v>442.27199999999999</v>
      </c>
    </row>
    <row r="5508" spans="1:4">
      <c r="A5508" t="str">
        <f>"54034-VD20B"</f>
        <v>54034-VD20B</v>
      </c>
      <c r="B5508" t="str">
        <f>"Кольцо пружины уплот"</f>
        <v>Кольцо пружины уплот</v>
      </c>
      <c r="C5508">
        <v>2</v>
      </c>
      <c r="D5508">
        <v>497.76</v>
      </c>
    </row>
    <row r="5509" spans="1:4">
      <c r="A5509" t="str">
        <f>"54035-8J000"</f>
        <v>54035-8J000</v>
      </c>
      <c r="B5509" t="str">
        <f>"Кольцо опорное пружи"</f>
        <v>Кольцо опорное пружи</v>
      </c>
      <c r="C5509">
        <v>13</v>
      </c>
      <c r="D5509">
        <v>271.72800000000001</v>
      </c>
    </row>
    <row r="5510" spans="1:4">
      <c r="A5510" t="str">
        <f>"54035-JG00A"</f>
        <v>54035-JG00A</v>
      </c>
      <c r="B5510" t="str">
        <f>"Опора пружины"</f>
        <v>Опора пружины</v>
      </c>
      <c r="C5510">
        <v>6</v>
      </c>
      <c r="D5510">
        <v>417.38399999999996</v>
      </c>
    </row>
    <row r="5511" spans="1:4">
      <c r="A5511" t="str">
        <f>"54036-2Y000"</f>
        <v>54036-2Y000</v>
      </c>
      <c r="B5511" t="str">
        <f>"SEAT SPRING"</f>
        <v>SEAT SPRING</v>
      </c>
      <c r="C5511">
        <v>4</v>
      </c>
      <c r="D5511">
        <v>1043.664</v>
      </c>
    </row>
    <row r="5512" spans="1:4">
      <c r="A5512" t="str">
        <f>"54036-CA000"</f>
        <v>54036-CA000</v>
      </c>
      <c r="B5512" t="str">
        <f>"Кольцо пружины уплот"</f>
        <v>Кольцо пружины уплот</v>
      </c>
      <c r="C5512">
        <v>0</v>
      </c>
      <c r="D5512">
        <v>991.44</v>
      </c>
    </row>
    <row r="5513" spans="1:4">
      <c r="A5513" t="str">
        <f>"54040-4M400"</f>
        <v>54040-4M400</v>
      </c>
      <c r="B5513" t="str">
        <f>"SEAT ASSY-FRONT"</f>
        <v>SEAT ASSY-FRONT</v>
      </c>
      <c r="C5513">
        <v>2</v>
      </c>
      <c r="D5513">
        <v>772.34399999999994</v>
      </c>
    </row>
    <row r="5514" spans="1:4">
      <c r="A5514" t="str">
        <f>"54040-4U000"</f>
        <v>54040-4U000</v>
      </c>
      <c r="B5514" t="str">
        <f>"SEAT ASSY-FRONT"</f>
        <v>SEAT ASSY-FRONT</v>
      </c>
      <c r="C5514">
        <v>0</v>
      </c>
      <c r="D5514">
        <v>875.16</v>
      </c>
    </row>
    <row r="5515" spans="1:4">
      <c r="A5515" t="str">
        <f>"54050-01J00"</f>
        <v>54050-01J00</v>
      </c>
      <c r="B5515" t="str">
        <f>"BUMPER-BOUND RH"</f>
        <v>BUMPER-BOUND RH</v>
      </c>
      <c r="C5515">
        <v>27</v>
      </c>
      <c r="D5515">
        <v>857.61599999999987</v>
      </c>
    </row>
    <row r="5516" spans="1:4">
      <c r="A5516" t="str">
        <f>"54050-0W002"</f>
        <v>54050-0W002</v>
      </c>
      <c r="B5516" t="str">
        <f>"BUMPER ASSY-BOU"</f>
        <v>BUMPER ASSY-BOU</v>
      </c>
      <c r="C5516">
        <v>0</v>
      </c>
      <c r="D5516">
        <v>772.34399999999994</v>
      </c>
    </row>
    <row r="5517" spans="1:4">
      <c r="A5517" t="str">
        <f>"54050-2F005"</f>
        <v>54050-2F005</v>
      </c>
      <c r="B5517" t="str">
        <f>"BUMPER ASSY-BOU"</f>
        <v>BUMPER ASSY-BOU</v>
      </c>
      <c r="C5517">
        <v>4</v>
      </c>
      <c r="D5517">
        <v>731.54399999999998</v>
      </c>
    </row>
    <row r="5518" spans="1:4">
      <c r="A5518" t="str">
        <f>"54050-2Y000"</f>
        <v>54050-2Y000</v>
      </c>
      <c r="B5518" t="str">
        <f>"BUMPER ASSY-BOU"</f>
        <v>BUMPER ASSY-BOU</v>
      </c>
      <c r="C5518">
        <v>14</v>
      </c>
      <c r="D5518">
        <v>824.16</v>
      </c>
    </row>
    <row r="5519" spans="1:4">
      <c r="A5519" t="str">
        <f>"54050-2Y001"</f>
        <v>54050-2Y001</v>
      </c>
      <c r="B5519" t="str">
        <f>"BUMPER ASSY-BOU"</f>
        <v>BUMPER ASSY-BOU</v>
      </c>
      <c r="C5519">
        <v>16</v>
      </c>
      <c r="D5519">
        <v>761.32800000000009</v>
      </c>
    </row>
    <row r="5520" spans="1:4">
      <c r="A5520" t="str">
        <f>"54050-31U02"</f>
        <v>54050-31U02</v>
      </c>
      <c r="B5520" t="str">
        <f>"BUMPER ASSY-BOU"</f>
        <v>BUMPER ASSY-BOU</v>
      </c>
      <c r="C5520">
        <v>35</v>
      </c>
      <c r="D5520">
        <v>813.55200000000002</v>
      </c>
    </row>
    <row r="5521" spans="1:4">
      <c r="A5521" t="str">
        <f>"54050-50W0A"</f>
        <v>54050-50W0A</v>
      </c>
      <c r="B5521" t="str">
        <f>"Отбойник подвеск"</f>
        <v>Отбойник подвеск</v>
      </c>
      <c r="C5521">
        <v>1</v>
      </c>
      <c r="D5521">
        <v>627.91199999999992</v>
      </c>
    </row>
    <row r="5522" spans="1:4">
      <c r="A5522" t="str">
        <f>"54050-5C001"</f>
        <v>54050-5C001</v>
      </c>
      <c r="B5522" t="str">
        <f>"BUMPER ASSY-BOU"</f>
        <v>BUMPER ASSY-BOU</v>
      </c>
      <c r="C5522">
        <v>2</v>
      </c>
      <c r="D5522">
        <v>855.98400000000004</v>
      </c>
    </row>
    <row r="5523" spans="1:4">
      <c r="A5523" t="str">
        <f>"54050-5V010"</f>
        <v>54050-5V010</v>
      </c>
      <c r="B5523" t="str">
        <f>"BUMPER ASSY-BOU"</f>
        <v>BUMPER ASSY-BOU</v>
      </c>
      <c r="C5523">
        <v>34</v>
      </c>
      <c r="D5523">
        <v>970.22399999999993</v>
      </c>
    </row>
    <row r="5524" spans="1:4">
      <c r="A5524" t="str">
        <f>"54050-8J000"</f>
        <v>54050-8J000</v>
      </c>
      <c r="B5524" t="str">
        <f>"Пыльник-отбойник амо"</f>
        <v>Пыльник-отбойник амо</v>
      </c>
      <c r="C5524">
        <v>3</v>
      </c>
      <c r="D5524">
        <v>576.91199999999992</v>
      </c>
    </row>
    <row r="5525" spans="1:4">
      <c r="A5525" t="str">
        <f>"54050-AU520"</f>
        <v>54050-AU520</v>
      </c>
      <c r="B5525" t="str">
        <f>"BUMPER ASSY-BOU"</f>
        <v>BUMPER ASSY-BOU</v>
      </c>
      <c r="C5525">
        <v>13</v>
      </c>
      <c r="D5525">
        <v>1046.9280000000001</v>
      </c>
    </row>
    <row r="5526" spans="1:4">
      <c r="A5526" t="str">
        <f>"54050-AX601"</f>
        <v>54050-AX601</v>
      </c>
      <c r="B5526" t="str">
        <f>"BUMPER ASSY-BOU"</f>
        <v>BUMPER ASSY-BOU</v>
      </c>
      <c r="C5526">
        <v>138</v>
      </c>
      <c r="D5526">
        <v>1043.2559999999999</v>
      </c>
    </row>
    <row r="5527" spans="1:4">
      <c r="A5527" t="str">
        <f>"54050-AZ100"</f>
        <v>54050-AZ100</v>
      </c>
      <c r="B5527" t="str">
        <f>"Пыльник-отбойник амо"</f>
        <v>Пыльник-отбойник амо</v>
      </c>
      <c r="C5527">
        <v>6</v>
      </c>
      <c r="D5527">
        <v>697.68</v>
      </c>
    </row>
    <row r="5528" spans="1:4">
      <c r="A5528" t="str">
        <f>"54050-CG000"</f>
        <v>54050-CG000</v>
      </c>
      <c r="B5528" t="str">
        <f>"BUMPER ASSY-BOU"</f>
        <v>BUMPER ASSY-BOU</v>
      </c>
      <c r="C5528">
        <v>28</v>
      </c>
      <c r="D5528">
        <v>824.16</v>
      </c>
    </row>
    <row r="5529" spans="1:4">
      <c r="A5529" t="str">
        <f>"54050-JD00A"</f>
        <v>54050-JD00A</v>
      </c>
      <c r="B5529" t="str">
        <f>"Пыльник-отбойник амо"</f>
        <v>Пыльник-отбойник амо</v>
      </c>
      <c r="C5529">
        <v>0</v>
      </c>
      <c r="D5529">
        <v>823.75200000000007</v>
      </c>
    </row>
    <row r="5530" spans="1:4">
      <c r="A5530" t="str">
        <f>"54050-JP00A"</f>
        <v>54050-JP00A</v>
      </c>
      <c r="B5530" t="str">
        <f>"Пыльник-отбойник амо"</f>
        <v>Пыльник-отбойник амо</v>
      </c>
      <c r="C5530">
        <v>0</v>
      </c>
      <c r="D5530">
        <v>807.024</v>
      </c>
    </row>
    <row r="5531" spans="1:4">
      <c r="A5531" t="str">
        <f>"54050-VD20A"</f>
        <v>54050-VD20A</v>
      </c>
      <c r="B5531" t="str">
        <f>"Пыльник-отбойник амо"</f>
        <v>Пыльник-отбойник амо</v>
      </c>
      <c r="C5531">
        <v>12</v>
      </c>
      <c r="D5531">
        <v>912.28800000000001</v>
      </c>
    </row>
    <row r="5532" spans="1:4">
      <c r="A5532" t="str">
        <f>"54052-0M012"</f>
        <v>54052-0M012</v>
      </c>
      <c r="B5532" t="str">
        <f>"BUMPER"</f>
        <v>BUMPER</v>
      </c>
      <c r="C5532">
        <v>2</v>
      </c>
      <c r="D5532">
        <v>549.16800000000001</v>
      </c>
    </row>
    <row r="5533" spans="1:4">
      <c r="A5533" t="str">
        <f>"54052-0M812"</f>
        <v>54052-0M812</v>
      </c>
      <c r="B5533" t="str">
        <f>"BUMPER"</f>
        <v>BUMPER</v>
      </c>
      <c r="C5533">
        <v>20</v>
      </c>
      <c r="D5533">
        <v>774.38400000000001</v>
      </c>
    </row>
    <row r="5534" spans="1:4">
      <c r="A5534" t="str">
        <f>"54052-4M400"</f>
        <v>54052-4M400</v>
      </c>
      <c r="B5534" t="str">
        <f>"BUMPER"</f>
        <v>BUMPER</v>
      </c>
      <c r="C5534">
        <v>8</v>
      </c>
      <c r="D5534">
        <v>597.31200000000001</v>
      </c>
    </row>
    <row r="5535" spans="1:4">
      <c r="A5535" t="str">
        <f>"54052-WA400"</f>
        <v>54052-WA400</v>
      </c>
      <c r="B5535" t="str">
        <f>"Пыльник-отбойник амо"</f>
        <v>Пыльник-отбойник амо</v>
      </c>
      <c r="C5535">
        <v>16</v>
      </c>
      <c r="D5535">
        <v>719.30399999999997</v>
      </c>
    </row>
    <row r="5536" spans="1:4">
      <c r="A5536" t="str">
        <f>"54055-4F100"</f>
        <v>54055-4F100</v>
      </c>
      <c r="B5536" t="str">
        <f>"COVER-DUST"</f>
        <v>COVER-DUST</v>
      </c>
      <c r="C5536">
        <v>0</v>
      </c>
      <c r="D5536">
        <v>408.81599999999997</v>
      </c>
    </row>
    <row r="5537" spans="1:4">
      <c r="A5537" t="str">
        <f>"54055-56E00"</f>
        <v>54055-56E00</v>
      </c>
      <c r="B5537" t="str">
        <f>"COVER-DUST"</f>
        <v>COVER-DUST</v>
      </c>
      <c r="C5537">
        <v>12</v>
      </c>
      <c r="D5537">
        <v>428.4</v>
      </c>
    </row>
    <row r="5538" spans="1:4">
      <c r="A5538" t="str">
        <f>"54055-7S000"</f>
        <v>54055-7S000</v>
      </c>
      <c r="B5538" t="str">
        <f>"Пыльник амортизатора"</f>
        <v>Пыльник амортизатора</v>
      </c>
      <c r="C5538">
        <v>0</v>
      </c>
      <c r="D5538">
        <v>726.64799999999991</v>
      </c>
    </row>
    <row r="5539" spans="1:4">
      <c r="A5539" t="str">
        <f>"54055-90J10"</f>
        <v>54055-90J10</v>
      </c>
      <c r="B5539" t="str">
        <f>"COVER-DUST"</f>
        <v>COVER-DUST</v>
      </c>
      <c r="C5539">
        <v>5</v>
      </c>
      <c r="D5539">
        <v>454.512</v>
      </c>
    </row>
    <row r="5540" spans="1:4">
      <c r="A5540" t="str">
        <f>"54055-90J13"</f>
        <v>54055-90J13</v>
      </c>
      <c r="B5540" t="str">
        <f>"COVER-DUST"</f>
        <v>COVER-DUST</v>
      </c>
      <c r="C5540">
        <v>7</v>
      </c>
      <c r="D5540">
        <v>447.57600000000002</v>
      </c>
    </row>
    <row r="5541" spans="1:4">
      <c r="A5541" t="str">
        <f>"54216-31G0A"</f>
        <v>54216-31G0A</v>
      </c>
      <c r="B5541" t="str">
        <f>"БОЛТ"</f>
        <v>БОЛТ</v>
      </c>
      <c r="C5541">
        <v>4</v>
      </c>
      <c r="D5541">
        <v>150.55199999999999</v>
      </c>
    </row>
    <row r="5542" spans="1:4">
      <c r="A5542" t="str">
        <f>"54300-8C8P6"</f>
        <v>54300-8C8P6</v>
      </c>
      <c r="B5542" t="str">
        <f>"STRUT KIT-FRONT"</f>
        <v>STRUT KIT-FRONT</v>
      </c>
      <c r="C5542">
        <v>1</v>
      </c>
      <c r="D5542">
        <v>6120</v>
      </c>
    </row>
    <row r="5543" spans="1:4">
      <c r="A5543" t="str">
        <f>"54302-2Y9X5"</f>
        <v>54302-2Y9X5</v>
      </c>
      <c r="B5543" t="str">
        <f>"STRUT KIT-FR,RH"</f>
        <v>STRUT KIT-FR,RH</v>
      </c>
      <c r="C5543">
        <v>2</v>
      </c>
      <c r="D5543">
        <v>6771.9839999999995</v>
      </c>
    </row>
    <row r="5544" spans="1:4">
      <c r="A5544" t="str">
        <f>"54302-6Y3X5"</f>
        <v>54302-6Y3X5</v>
      </c>
      <c r="B5544" t="str">
        <f>"Стойка амортизаторна"</f>
        <v>Стойка амортизаторна</v>
      </c>
      <c r="C5544">
        <v>4</v>
      </c>
      <c r="D5544">
        <v>7623.48</v>
      </c>
    </row>
    <row r="5545" spans="1:4">
      <c r="A5545" t="str">
        <f>"54302-95F0B"</f>
        <v>54302-95F0B</v>
      </c>
      <c r="B5545" t="str">
        <f>"Стойка амортизаторна"</f>
        <v>Стойка амортизаторна</v>
      </c>
      <c r="C5545">
        <v>1</v>
      </c>
      <c r="D5545">
        <v>5663.8559999999998</v>
      </c>
    </row>
    <row r="5546" spans="1:4">
      <c r="A5546" t="str">
        <f>"54302-AN026"</f>
        <v>54302-AN026</v>
      </c>
      <c r="B5546" t="str">
        <f>"Стойка амортизаторна"</f>
        <v>Стойка амортизаторна</v>
      </c>
      <c r="C5546">
        <v>3</v>
      </c>
      <c r="D5546">
        <v>3707.904</v>
      </c>
    </row>
    <row r="5547" spans="1:4">
      <c r="A5547" t="str">
        <f>"54302-AV425"</f>
        <v>54302-AV425</v>
      </c>
      <c r="B5547" t="str">
        <f>"STRUT KIT-FRONT"</f>
        <v>STRUT KIT-FRONT</v>
      </c>
      <c r="C5547">
        <v>0</v>
      </c>
      <c r="D5547">
        <v>6834</v>
      </c>
    </row>
    <row r="5548" spans="1:4">
      <c r="A5548" t="str">
        <f>"54302-BN427"</f>
        <v>54302-BN427</v>
      </c>
      <c r="B5548" t="str">
        <f>"STRUT KIT-FRONT"</f>
        <v>STRUT KIT-FRONT</v>
      </c>
      <c r="C5548">
        <v>1</v>
      </c>
      <c r="D5548">
        <v>5426.4</v>
      </c>
    </row>
    <row r="5549" spans="1:4">
      <c r="A5549" t="str">
        <f>"54302-BN825"</f>
        <v>54302-BN825</v>
      </c>
      <c r="B5549" t="str">
        <f>"STRUT KIT-FRONT"</f>
        <v>STRUT KIT-FRONT</v>
      </c>
      <c r="C5549">
        <v>11</v>
      </c>
      <c r="D5549">
        <v>6536.16</v>
      </c>
    </row>
    <row r="5550" spans="1:4">
      <c r="A5550" t="str">
        <f>"54302-CA125"</f>
        <v>54302-CA125</v>
      </c>
      <c r="B5550" t="str">
        <f>"Стойка амортизаторна"</f>
        <v>Стойка амортизаторна</v>
      </c>
      <c r="C5550">
        <v>2</v>
      </c>
      <c r="D5550">
        <v>6120</v>
      </c>
    </row>
    <row r="5551" spans="1:4">
      <c r="A5551" t="str">
        <f>"54302-CG085"</f>
        <v>54302-CG085</v>
      </c>
      <c r="B5551" t="str">
        <f>"STRUT-KIT FR RH"</f>
        <v>STRUT-KIT FR RH</v>
      </c>
      <c r="C5551">
        <v>9</v>
      </c>
      <c r="D5551">
        <v>12497.855999999998</v>
      </c>
    </row>
    <row r="5552" spans="1:4">
      <c r="A5552" t="str">
        <f>"54302-CG725"</f>
        <v>54302-CG725</v>
      </c>
      <c r="B5552" t="str">
        <f>"STRUT KIT-FRONT"</f>
        <v>STRUT KIT-FRONT</v>
      </c>
      <c r="C5552">
        <v>9</v>
      </c>
      <c r="D5552">
        <v>13285.296</v>
      </c>
    </row>
    <row r="5553" spans="1:4">
      <c r="A5553" t="str">
        <f>"54302-CL025"</f>
        <v>54302-CL025</v>
      </c>
      <c r="B5553" t="str">
        <f>"Стойка амортизаторна"</f>
        <v>Стойка амортизаторна</v>
      </c>
      <c r="C5553">
        <v>3</v>
      </c>
      <c r="D5553">
        <v>13650.048000000001</v>
      </c>
    </row>
    <row r="5554" spans="1:4">
      <c r="A5554" t="str">
        <f>"54302-EQ026"</f>
        <v>54302-EQ026</v>
      </c>
      <c r="B5554" t="str">
        <f>"Стойка амортизаторна"</f>
        <v>Стойка амортизаторна</v>
      </c>
      <c r="C5554">
        <v>7</v>
      </c>
      <c r="D5554">
        <v>8045.76</v>
      </c>
    </row>
    <row r="5555" spans="1:4">
      <c r="A5555" t="str">
        <f>"54303-0N627"</f>
        <v>54303-0N627</v>
      </c>
      <c r="B5555" t="str">
        <f>"STRUT KIT-FRONT"</f>
        <v>STRUT KIT-FRONT</v>
      </c>
      <c r="C5555">
        <v>1</v>
      </c>
      <c r="D5555">
        <v>3972.6959999999999</v>
      </c>
    </row>
    <row r="5556" spans="1:4">
      <c r="A5556" t="str">
        <f>"54303-2Y9X5"</f>
        <v>54303-2Y9X5</v>
      </c>
      <c r="B5556" t="str">
        <f>"STRUT KIT-FR,LH"</f>
        <v>STRUT KIT-FR,LH</v>
      </c>
      <c r="C5556">
        <v>1</v>
      </c>
      <c r="D5556">
        <v>6778.5119999999997</v>
      </c>
    </row>
    <row r="5557" spans="1:4">
      <c r="A5557" t="str">
        <f>"54303-6Y3X5"</f>
        <v>54303-6Y3X5</v>
      </c>
      <c r="B5557" t="str">
        <f>"Стойка амортизаторна"</f>
        <v>Стойка амортизаторна</v>
      </c>
      <c r="C5557">
        <v>5</v>
      </c>
      <c r="D5557">
        <v>8005.3680000000004</v>
      </c>
    </row>
    <row r="5558" spans="1:4">
      <c r="A5558" t="str">
        <f>"54303-95F0B"</f>
        <v>54303-95F0B</v>
      </c>
      <c r="B5558" t="str">
        <f>"Стойка амортизаторна"</f>
        <v>Стойка амортизаторна</v>
      </c>
      <c r="C5558">
        <v>0</v>
      </c>
      <c r="D5558">
        <v>5667.12</v>
      </c>
    </row>
    <row r="5559" spans="1:4">
      <c r="A5559" t="str">
        <f>"54303-AN026"</f>
        <v>54303-AN026</v>
      </c>
      <c r="B5559" t="str">
        <f>"Стойка амортизаторна"</f>
        <v>Стойка амортизаторна</v>
      </c>
      <c r="C5559">
        <v>0</v>
      </c>
      <c r="D5559">
        <v>3770.7359999999999</v>
      </c>
    </row>
    <row r="5560" spans="1:4">
      <c r="A5560" t="str">
        <f>"54303-AV425"</f>
        <v>54303-AV425</v>
      </c>
      <c r="B5560" t="str">
        <f>"STRUT KIT-FRONT"</f>
        <v>STRUT KIT-FRONT</v>
      </c>
      <c r="C5560">
        <v>0</v>
      </c>
      <c r="D5560">
        <v>7169.3759999999993</v>
      </c>
    </row>
    <row r="5561" spans="1:4">
      <c r="A5561" t="str">
        <f>"54303-BA025"</f>
        <v>54303-BA025</v>
      </c>
      <c r="B5561" t="str">
        <f>"STRUT KIT-FRONT"</f>
        <v>STRUT KIT-FRONT</v>
      </c>
      <c r="C5561">
        <v>3</v>
      </c>
      <c r="D5561">
        <v>6994.7519999999995</v>
      </c>
    </row>
    <row r="5562" spans="1:4">
      <c r="A5562" t="str">
        <f>"54303-BN427"</f>
        <v>54303-BN427</v>
      </c>
      <c r="B5562" t="str">
        <f>"STRUT KIT-FRONT"</f>
        <v>STRUT KIT-FRONT</v>
      </c>
      <c r="C5562">
        <v>1</v>
      </c>
      <c r="D5562">
        <v>5304</v>
      </c>
    </row>
    <row r="5563" spans="1:4">
      <c r="A5563" t="str">
        <f>"54303-BN825"</f>
        <v>54303-BN825</v>
      </c>
      <c r="B5563" t="str">
        <f>"STRUT KIT-FRONT"</f>
        <v>STRUT KIT-FRONT</v>
      </c>
      <c r="C5563">
        <v>9</v>
      </c>
      <c r="D5563">
        <v>6396.6240000000007</v>
      </c>
    </row>
    <row r="5564" spans="1:4">
      <c r="A5564" t="str">
        <f>"54303-CA125"</f>
        <v>54303-CA125</v>
      </c>
      <c r="B5564" t="str">
        <f>"Стойка амортизаторна"</f>
        <v>Стойка амортизаторна</v>
      </c>
      <c r="C5564">
        <v>3</v>
      </c>
      <c r="D5564">
        <v>9092.6880000000001</v>
      </c>
    </row>
    <row r="5565" spans="1:4">
      <c r="A5565" t="str">
        <f>"54303-CG085"</f>
        <v>54303-CG085</v>
      </c>
      <c r="B5565" t="str">
        <f>"STRUT KIT-FR WH"</f>
        <v>STRUT KIT-FR WH</v>
      </c>
      <c r="C5565">
        <v>9</v>
      </c>
      <c r="D5565">
        <v>12949.512000000001</v>
      </c>
    </row>
    <row r="5566" spans="1:4">
      <c r="A5566" t="str">
        <f>"54303-CG725"</f>
        <v>54303-CG725</v>
      </c>
      <c r="B5566" t="str">
        <f>"STRUT KIT FRONT"</f>
        <v>STRUT KIT FRONT</v>
      </c>
      <c r="C5566">
        <v>9</v>
      </c>
      <c r="D5566">
        <v>13365.671999999999</v>
      </c>
    </row>
    <row r="5567" spans="1:4">
      <c r="A5567" t="str">
        <f>"54303-CL025"</f>
        <v>54303-CL025</v>
      </c>
      <c r="B5567" t="str">
        <f>"STRUT KIT-FRONT"</f>
        <v>STRUT KIT-FRONT</v>
      </c>
      <c r="C5567">
        <v>4</v>
      </c>
      <c r="D5567">
        <v>13526.016</v>
      </c>
    </row>
    <row r="5568" spans="1:4">
      <c r="A5568" t="str">
        <f>"54303-EQ026"</f>
        <v>54303-EQ026</v>
      </c>
      <c r="B5568" t="str">
        <f>"Стойка амортизаторна"</f>
        <v>Стойка амортизаторна</v>
      </c>
      <c r="C5568">
        <v>8</v>
      </c>
      <c r="D5568">
        <v>8197.1279999999988</v>
      </c>
    </row>
    <row r="5569" spans="1:4">
      <c r="A5569" t="str">
        <f>"54320-0W000"</f>
        <v>54320-0W000</v>
      </c>
      <c r="B5569" t="str">
        <f>"INSULATOR-STRUT"</f>
        <v>INSULATOR-STRUT</v>
      </c>
      <c r="C5569">
        <v>2</v>
      </c>
      <c r="D5569">
        <v>1016.328</v>
      </c>
    </row>
    <row r="5570" spans="1:4">
      <c r="A5570" t="str">
        <f>"54320-1EA0B"</f>
        <v>54320-1EA0B</v>
      </c>
      <c r="B5570" t="str">
        <f>"Опора амортизато"</f>
        <v>Опора амортизато</v>
      </c>
      <c r="C5570">
        <v>2</v>
      </c>
      <c r="D5570">
        <v>1730.7359999999999</v>
      </c>
    </row>
    <row r="5571" spans="1:4">
      <c r="A5571" t="str">
        <f>"54320-2W100"</f>
        <v>54320-2W100</v>
      </c>
      <c r="B5571" t="str">
        <f>"INSULATOR-STRUT"</f>
        <v>INSULATOR-STRUT</v>
      </c>
      <c r="C5571">
        <v>2</v>
      </c>
      <c r="D5571">
        <v>1090.5840000000001</v>
      </c>
    </row>
    <row r="5572" spans="1:4">
      <c r="A5572" t="str">
        <f>"54320-3Z000"</f>
        <v>54320-3Z000</v>
      </c>
      <c r="B5572" t="str">
        <f>"Опора амортизато"</f>
        <v>Опора амортизато</v>
      </c>
      <c r="C5572">
        <v>3</v>
      </c>
      <c r="D5572">
        <v>727.05599999999993</v>
      </c>
    </row>
    <row r="5573" spans="1:4">
      <c r="A5573" t="str">
        <f>"54320-40U02"</f>
        <v>54320-40U02</v>
      </c>
      <c r="B5573" t="str">
        <f>"INSULATOR-STRUT"</f>
        <v>INSULATOR-STRUT</v>
      </c>
      <c r="C5573">
        <v>2</v>
      </c>
      <c r="D5573">
        <v>1155.4559999999999</v>
      </c>
    </row>
    <row r="5574" spans="1:4">
      <c r="A5574" t="str">
        <f>"54320-4M401"</f>
        <v>54320-4M401</v>
      </c>
      <c r="B5574" t="str">
        <f>"INSULATOR ASSY-"</f>
        <v>INSULATOR ASSY-</v>
      </c>
      <c r="C5574">
        <v>0</v>
      </c>
      <c r="D5574">
        <v>1660.56</v>
      </c>
    </row>
    <row r="5575" spans="1:4">
      <c r="A5575" t="str">
        <f>"54320-95F0A"</f>
        <v>54320-95F0A</v>
      </c>
      <c r="B5575" t="str">
        <f>"Опора амортизато"</f>
        <v>Опора амортизато</v>
      </c>
      <c r="C5575">
        <v>0</v>
      </c>
      <c r="D5575">
        <v>1166.8799999999999</v>
      </c>
    </row>
    <row r="5576" spans="1:4">
      <c r="A5576" t="str">
        <f>"54320-9C000"</f>
        <v>54320-9C000</v>
      </c>
      <c r="B5576" t="str">
        <f>"INSULATOR ASSY-"</f>
        <v>INSULATOR ASSY-</v>
      </c>
      <c r="C5576">
        <v>6</v>
      </c>
      <c r="D5576">
        <v>2332.944</v>
      </c>
    </row>
    <row r="5577" spans="1:4">
      <c r="A5577" t="str">
        <f>"54320-9U01A"</f>
        <v>54320-9U01A</v>
      </c>
      <c r="B5577" t="str">
        <f>"Опора амортизато"</f>
        <v>Опора амортизато</v>
      </c>
      <c r="C5577">
        <v>5</v>
      </c>
      <c r="D5577">
        <v>904.12800000000004</v>
      </c>
    </row>
    <row r="5578" spans="1:4">
      <c r="A5578" t="str">
        <f>"54320-BC40A"</f>
        <v>54320-BC40A</v>
      </c>
      <c r="B5578" t="str">
        <f>"Опора амортизато"</f>
        <v>Опора амортизато</v>
      </c>
      <c r="C5578">
        <v>5</v>
      </c>
      <c r="D5578">
        <v>854.35199999999998</v>
      </c>
    </row>
    <row r="5579" spans="1:4">
      <c r="A5579" t="str">
        <f>"54320-CG000"</f>
        <v>54320-CG000</v>
      </c>
      <c r="B5579" t="str">
        <f>"INSULATOR-STRUT"</f>
        <v>INSULATOR-STRUT</v>
      </c>
      <c r="C5579">
        <v>0</v>
      </c>
      <c r="D5579">
        <v>1147.296</v>
      </c>
    </row>
    <row r="5580" spans="1:4">
      <c r="A5580" t="str">
        <f>"54320-CN100"</f>
        <v>54320-CN100</v>
      </c>
      <c r="B5580" t="str">
        <f>"Опора амортизато"</f>
        <v>Опора амортизато</v>
      </c>
      <c r="C5580">
        <v>14</v>
      </c>
      <c r="D5580">
        <v>1173.8159999999998</v>
      </c>
    </row>
    <row r="5581" spans="1:4">
      <c r="A5581" t="str">
        <f>"54320-EG00A"</f>
        <v>54320-EG00A</v>
      </c>
      <c r="B5581" t="str">
        <f>"ОПОРА АМОРТ"</f>
        <v>ОПОРА АМОРТ</v>
      </c>
      <c r="C5581">
        <v>0</v>
      </c>
      <c r="D5581">
        <v>1860.8879999999999</v>
      </c>
    </row>
    <row r="5582" spans="1:4">
      <c r="A5582" t="str">
        <f>"54320-JD00B"</f>
        <v>54320-JD00B</v>
      </c>
      <c r="B5582" t="str">
        <f t="shared" ref="B5582:B5589" si="105">"Опора амортизато"</f>
        <v>Опора амортизато</v>
      </c>
      <c r="C5582">
        <v>0</v>
      </c>
      <c r="D5582">
        <v>904.12800000000004</v>
      </c>
    </row>
    <row r="5583" spans="1:4">
      <c r="A5583" t="str">
        <f>"54320-JG01B"</f>
        <v>54320-JG01B</v>
      </c>
      <c r="B5583" t="str">
        <f t="shared" si="105"/>
        <v>Опора амортизато</v>
      </c>
      <c r="C5583">
        <v>101</v>
      </c>
      <c r="D5583">
        <v>1793.1599999999999</v>
      </c>
    </row>
    <row r="5584" spans="1:4">
      <c r="A5584" t="str">
        <f>"54320-JP00A"</f>
        <v>54320-JP00A</v>
      </c>
      <c r="B5584" t="str">
        <f t="shared" si="105"/>
        <v>Опора амортизато</v>
      </c>
      <c r="C5584">
        <v>54</v>
      </c>
      <c r="D5584">
        <v>1519.8</v>
      </c>
    </row>
    <row r="5585" spans="1:4">
      <c r="A5585" t="str">
        <f>"54320-ZE70A"</f>
        <v>54320-ZE70A</v>
      </c>
      <c r="B5585" t="str">
        <f t="shared" si="105"/>
        <v>Опора амортизато</v>
      </c>
      <c r="C5585">
        <v>0</v>
      </c>
      <c r="D5585">
        <v>1277.4479999999999</v>
      </c>
    </row>
    <row r="5586" spans="1:4">
      <c r="A5586" t="str">
        <f>"54321-9U01A"</f>
        <v>54321-9U01A</v>
      </c>
      <c r="B5586" t="str">
        <f t="shared" si="105"/>
        <v>Опора амортизато</v>
      </c>
      <c r="C5586">
        <v>3</v>
      </c>
      <c r="D5586">
        <v>904.12800000000004</v>
      </c>
    </row>
    <row r="5587" spans="1:4">
      <c r="A5587" t="str">
        <f>"54321-BC40A"</f>
        <v>54321-BC40A</v>
      </c>
      <c r="B5587" t="str">
        <f t="shared" si="105"/>
        <v>Опора амортизато</v>
      </c>
      <c r="C5587">
        <v>13</v>
      </c>
      <c r="D5587">
        <v>854.35199999999998</v>
      </c>
    </row>
    <row r="5588" spans="1:4">
      <c r="A5588" t="str">
        <f>"54321-JG01B"</f>
        <v>54321-JG01B</v>
      </c>
      <c r="B5588" t="str">
        <f t="shared" si="105"/>
        <v>Опора амортизато</v>
      </c>
      <c r="C5588">
        <v>3</v>
      </c>
      <c r="D5588">
        <v>1480.6319999999998</v>
      </c>
    </row>
    <row r="5589" spans="1:4">
      <c r="A5589" t="str">
        <f>"54321-ZE70A"</f>
        <v>54321-ZE70A</v>
      </c>
      <c r="B5589" t="str">
        <f t="shared" si="105"/>
        <v>Опора амортизато</v>
      </c>
      <c r="C5589">
        <v>0</v>
      </c>
      <c r="D5589">
        <v>1262.3520000000001</v>
      </c>
    </row>
    <row r="5590" spans="1:4">
      <c r="A5590" t="str">
        <f>"54322-31U00"</f>
        <v>54322-31U00</v>
      </c>
      <c r="B5590" t="str">
        <f>"BRACKET"</f>
        <v>BRACKET</v>
      </c>
      <c r="C5590">
        <v>11</v>
      </c>
      <c r="D5590">
        <v>721.75200000000007</v>
      </c>
    </row>
    <row r="5591" spans="1:4">
      <c r="A5591" t="str">
        <f>"54322-4U01A"</f>
        <v>54322-4U01A</v>
      </c>
      <c r="B5591" t="str">
        <f>"Кронштейн опоры амор"</f>
        <v>Кронштейн опоры амор</v>
      </c>
      <c r="C5591">
        <v>25</v>
      </c>
      <c r="D5591">
        <v>459.40799999999996</v>
      </c>
    </row>
    <row r="5592" spans="1:4">
      <c r="A5592" t="str">
        <f>"54325-21000"</f>
        <v>54325-21000</v>
      </c>
      <c r="B5592" t="str">
        <f>"BRG STRUT MTG"</f>
        <v>BRG STRUT MTG</v>
      </c>
      <c r="C5592">
        <v>66</v>
      </c>
      <c r="D5592">
        <v>381.47999999999996</v>
      </c>
    </row>
    <row r="5593" spans="1:4">
      <c r="A5593" t="str">
        <f>"54325-41B01"</f>
        <v>54325-41B01</v>
      </c>
      <c r="B5593" t="str">
        <f>"BRG STRUT MTG"</f>
        <v>BRG STRUT MTG</v>
      </c>
      <c r="C5593">
        <v>7</v>
      </c>
      <c r="D5593">
        <v>583.03200000000004</v>
      </c>
    </row>
    <row r="5594" spans="1:4">
      <c r="A5594" t="str">
        <f>"54325-4P001"</f>
        <v>54325-4P001</v>
      </c>
      <c r="B5594" t="str">
        <f>"BRG STRUT MTG"</f>
        <v>BRG STRUT MTG</v>
      </c>
      <c r="C5594">
        <v>30</v>
      </c>
      <c r="D5594">
        <v>678.91199999999992</v>
      </c>
    </row>
    <row r="5595" spans="1:4">
      <c r="A5595" t="str">
        <f>"54325-4Z000"</f>
        <v>54325-4Z000</v>
      </c>
      <c r="B5595" t="str">
        <f>"Опорный подшипник ст"</f>
        <v>Опорный подшипник ст</v>
      </c>
      <c r="C5595">
        <v>112</v>
      </c>
      <c r="D5595">
        <v>379.84800000000001</v>
      </c>
    </row>
    <row r="5596" spans="1:4">
      <c r="A5596" t="str">
        <f>"54325-5V000"</f>
        <v>54325-5V000</v>
      </c>
      <c r="B5596" t="str">
        <f>"BRG STRUT MTG"</f>
        <v>BRG STRUT MTG</v>
      </c>
      <c r="C5596">
        <v>41</v>
      </c>
      <c r="D5596">
        <v>537.3359999999999</v>
      </c>
    </row>
    <row r="5597" spans="1:4">
      <c r="A5597" t="str">
        <f>"54325-8J000"</f>
        <v>54325-8J000</v>
      </c>
      <c r="B5597" t="str">
        <f>"BRG STRUT MTG"</f>
        <v>BRG STRUT MTG</v>
      </c>
      <c r="C5597">
        <v>0</v>
      </c>
      <c r="D5597">
        <v>400.65600000000001</v>
      </c>
    </row>
    <row r="5598" spans="1:4">
      <c r="A5598" t="str">
        <f>"54325-JA000"</f>
        <v>54325-JA000</v>
      </c>
      <c r="B5598" t="str">
        <f>"Опорный подшипник ст"</f>
        <v>Опорный подшипник ст</v>
      </c>
      <c r="C5598">
        <v>133</v>
      </c>
      <c r="D5598">
        <v>609.14400000000001</v>
      </c>
    </row>
    <row r="5599" spans="1:4">
      <c r="A5599" t="str">
        <f>"54325-JE20C"</f>
        <v>54325-JE20C</v>
      </c>
      <c r="B5599" t="str">
        <f>"Опорный подшипник ст"</f>
        <v>Опорный подшипник ст</v>
      </c>
      <c r="C5599">
        <v>209</v>
      </c>
      <c r="D5599">
        <v>733.58400000000006</v>
      </c>
    </row>
    <row r="5600" spans="1:4">
      <c r="A5600" t="str">
        <f>"54329-39U00"</f>
        <v>54329-39U00</v>
      </c>
      <c r="B5600" t="str">
        <f>"SPACER"</f>
        <v>SPACER</v>
      </c>
      <c r="C5600">
        <v>19</v>
      </c>
      <c r="D5600">
        <v>267.23999999999995</v>
      </c>
    </row>
    <row r="5601" spans="1:4">
      <c r="A5601" t="str">
        <f>"54330-ED000"</f>
        <v>54330-ED000</v>
      </c>
      <c r="B5601" t="str">
        <f>"Крышка опоры амортиз"</f>
        <v>Крышка опоры амортиз</v>
      </c>
      <c r="C5601">
        <v>20</v>
      </c>
      <c r="D5601">
        <v>140.35199999999998</v>
      </c>
    </row>
    <row r="5602" spans="1:4">
      <c r="A5602" t="str">
        <f>"54342-EN000"</f>
        <v>54342-EN000</v>
      </c>
      <c r="B5602" t="str">
        <f>"Шайба подрамника"</f>
        <v>Шайба подрамника</v>
      </c>
      <c r="C5602">
        <v>0</v>
      </c>
      <c r="D5602">
        <v>79.151999999999987</v>
      </c>
    </row>
    <row r="5603" spans="1:4">
      <c r="A5603" t="str">
        <f>"54368-0W02A"</f>
        <v>54368-0W02A</v>
      </c>
      <c r="B5603" t="str">
        <f>"Болт балки моста"</f>
        <v>Болт балки моста</v>
      </c>
      <c r="C5603">
        <v>2</v>
      </c>
      <c r="D5603">
        <v>105.672</v>
      </c>
    </row>
    <row r="5604" spans="1:4">
      <c r="A5604" t="str">
        <f>"54368-4M40A"</f>
        <v>54368-4M40A</v>
      </c>
      <c r="B5604" t="str">
        <f>"Болт крепления рычаг"</f>
        <v>Болт крепления рычаг</v>
      </c>
      <c r="C5604">
        <v>12</v>
      </c>
      <c r="D5604">
        <v>110.568</v>
      </c>
    </row>
    <row r="5605" spans="1:4">
      <c r="A5605" t="str">
        <f>"54400-9U23A"</f>
        <v>54400-9U23A</v>
      </c>
      <c r="B5605" t="str">
        <f>"Балка моста подмотор"</f>
        <v>Балка моста подмотор</v>
      </c>
      <c r="C5605">
        <v>0</v>
      </c>
      <c r="D5605">
        <v>8495.3759999999984</v>
      </c>
    </row>
    <row r="5606" spans="1:4">
      <c r="A5606" t="str">
        <f>"54400-AV707"</f>
        <v>54400-AV707</v>
      </c>
      <c r="B5606" t="str">
        <f>"MEMBER COMPL-FR"</f>
        <v>MEMBER COMPL-FR</v>
      </c>
      <c r="C5606">
        <v>1</v>
      </c>
      <c r="D5606">
        <v>9438.6720000000005</v>
      </c>
    </row>
    <row r="5607" spans="1:4">
      <c r="A5607" t="str">
        <f>"54400-BB00A"</f>
        <v>54400-BB00A</v>
      </c>
      <c r="B5607" t="str">
        <f>"Балка моста"</f>
        <v>Балка моста</v>
      </c>
      <c r="C5607">
        <v>1</v>
      </c>
      <c r="D5607">
        <v>9438.6720000000005</v>
      </c>
    </row>
    <row r="5608" spans="1:4">
      <c r="A5608" t="str">
        <f>"54400-EL00A"</f>
        <v>54400-EL00A</v>
      </c>
      <c r="B5608" t="str">
        <f>"Балка моста подмотор"</f>
        <v>Балка моста подмотор</v>
      </c>
      <c r="C5608">
        <v>0</v>
      </c>
      <c r="D5608">
        <v>7182.8399999999992</v>
      </c>
    </row>
    <row r="5609" spans="1:4">
      <c r="A5609" t="str">
        <f>"54400-EM30B"</f>
        <v>54400-EM30B</v>
      </c>
      <c r="B5609" t="str">
        <f>"MEMBER COMPL-FRONT S"</f>
        <v>MEMBER COMPL-FRONT S</v>
      </c>
      <c r="C5609">
        <v>0</v>
      </c>
      <c r="D5609">
        <v>8976.4079999999994</v>
      </c>
    </row>
    <row r="5610" spans="1:4">
      <c r="A5610" t="str">
        <f>"54400-EQ500"</f>
        <v>54400-EQ500</v>
      </c>
      <c r="B5610" t="str">
        <f>"MEMBER COMPL-FR"</f>
        <v>MEMBER COMPL-FR</v>
      </c>
      <c r="C5610">
        <v>5</v>
      </c>
      <c r="D5610">
        <v>10131.864</v>
      </c>
    </row>
    <row r="5611" spans="1:4">
      <c r="A5611" t="str">
        <f>"54400-JG01B"</f>
        <v>54400-JG01B</v>
      </c>
      <c r="B5611" t="str">
        <f>"Балка подмоторна"</f>
        <v>Балка подмоторна</v>
      </c>
      <c r="C5611">
        <v>1</v>
      </c>
      <c r="D5611">
        <v>10146.551999999998</v>
      </c>
    </row>
    <row r="5612" spans="1:4">
      <c r="A5612" t="str">
        <f>"54400-JG31B"</f>
        <v>54400-JG31B</v>
      </c>
      <c r="B5612" t="str">
        <f>"Балка моста"</f>
        <v>Балка моста</v>
      </c>
      <c r="C5612">
        <v>0</v>
      </c>
      <c r="D5612">
        <v>10146.551999999998</v>
      </c>
    </row>
    <row r="5613" spans="1:4">
      <c r="A5613" t="str">
        <f>"54400-JN00A"</f>
        <v>54400-JN00A</v>
      </c>
      <c r="B5613" t="str">
        <f>"Балка подмоторна"</f>
        <v>Балка подмоторна</v>
      </c>
      <c r="C5613">
        <v>1</v>
      </c>
      <c r="D5613">
        <v>23281.703999999998</v>
      </c>
    </row>
    <row r="5614" spans="1:4">
      <c r="A5614" t="str">
        <f>"54400-JX01A"</f>
        <v>54400-JX01A</v>
      </c>
      <c r="B5614" t="str">
        <f>"Балка моста подмотор"</f>
        <v>Балка моста подмотор</v>
      </c>
      <c r="C5614">
        <v>0</v>
      </c>
      <c r="D5614">
        <v>7386.4319999999989</v>
      </c>
    </row>
    <row r="5615" spans="1:4">
      <c r="A5615" t="str">
        <f>"54401-1BA0A"</f>
        <v>54401-1BA0A</v>
      </c>
      <c r="B5615" t="str">
        <f>"Балка подмоторна"</f>
        <v>Балка подмоторна</v>
      </c>
      <c r="C5615">
        <v>1</v>
      </c>
      <c r="D5615">
        <v>12444</v>
      </c>
    </row>
    <row r="5616" spans="1:4">
      <c r="A5616" t="str">
        <f>"54401-1CA0C"</f>
        <v>54401-1CA0C</v>
      </c>
      <c r="B5616" t="str">
        <f>"MEMBER COMPL-FR"</f>
        <v>MEMBER COMPL-FR</v>
      </c>
      <c r="C5616">
        <v>0</v>
      </c>
      <c r="D5616">
        <v>22619.111999999997</v>
      </c>
    </row>
    <row r="5617" spans="1:4">
      <c r="A5617" t="str">
        <f>"54401-95F0A"</f>
        <v>54401-95F0A</v>
      </c>
      <c r="B5617" t="str">
        <f>"Балка моста подмотор"</f>
        <v>Балка моста подмотор</v>
      </c>
      <c r="C5617">
        <v>0</v>
      </c>
      <c r="D5617">
        <v>10778.544</v>
      </c>
    </row>
    <row r="5618" spans="1:4">
      <c r="A5618" t="str">
        <f>"54401-CM80A"</f>
        <v>54401-CM80A</v>
      </c>
      <c r="B5618" t="str">
        <f>"Балка моста подмотор"</f>
        <v>Балка моста подмотор</v>
      </c>
      <c r="C5618">
        <v>6</v>
      </c>
      <c r="D5618">
        <v>14876.495999999999</v>
      </c>
    </row>
    <row r="5619" spans="1:4">
      <c r="A5619" t="str">
        <f>"54401-JK500"</f>
        <v>54401-JK500</v>
      </c>
      <c r="B5619" t="str">
        <f>"Балка моста"</f>
        <v>Балка моста</v>
      </c>
      <c r="C5619">
        <v>3</v>
      </c>
      <c r="D5619">
        <v>20096.448</v>
      </c>
    </row>
    <row r="5620" spans="1:4">
      <c r="A5620" t="str">
        <f>"54419-VK80A"</f>
        <v>54419-VK80A</v>
      </c>
      <c r="B5620" t="str">
        <f>"Болт рычага подвески"</f>
        <v>Болт рычага подвески</v>
      </c>
      <c r="C5620">
        <v>0</v>
      </c>
      <c r="D5620">
        <v>255.816</v>
      </c>
    </row>
    <row r="5621" spans="1:4">
      <c r="A5621" t="str">
        <f>"54428-0E001"</f>
        <v>54428-0E001</v>
      </c>
      <c r="B5621" t="str">
        <f>"PIN-LINK BUSH"</f>
        <v>PIN-LINK BUSH</v>
      </c>
      <c r="C5621">
        <v>2</v>
      </c>
      <c r="D5621">
        <v>1147.296</v>
      </c>
    </row>
    <row r="5622" spans="1:4">
      <c r="A5622" t="str">
        <f>"54428-AD00A"</f>
        <v>54428-AD00A</v>
      </c>
      <c r="B5622" t="str">
        <f>"Тяга балки моста"</f>
        <v>Тяга балки моста</v>
      </c>
      <c r="C5622">
        <v>3</v>
      </c>
      <c r="D5622">
        <v>1167.6959999999999</v>
      </c>
    </row>
    <row r="5623" spans="1:4">
      <c r="A5623" t="str">
        <f>"54428-AU00A"</f>
        <v>54428-AU00A</v>
      </c>
      <c r="B5623" t="str">
        <f>"Тяга балки моста"</f>
        <v>Тяга балки моста</v>
      </c>
      <c r="C5623">
        <v>3</v>
      </c>
      <c r="D5623">
        <v>1112.2080000000001</v>
      </c>
    </row>
    <row r="5624" spans="1:4">
      <c r="A5624" t="str">
        <f>"54444-EB300"</f>
        <v>54444-EB300</v>
      </c>
      <c r="B5624" t="str">
        <f>"Подушка"</f>
        <v>Подушка</v>
      </c>
      <c r="C5624">
        <v>2</v>
      </c>
      <c r="D5624">
        <v>1208.4960000000001</v>
      </c>
    </row>
    <row r="5625" spans="1:4">
      <c r="A5625" t="str">
        <f>"54459-0M013"</f>
        <v>54459-0M013</v>
      </c>
      <c r="B5625" t="str">
        <f>"BOLT"</f>
        <v>BOLT</v>
      </c>
      <c r="C5625">
        <v>12</v>
      </c>
      <c r="D5625">
        <v>117.50399999999999</v>
      </c>
    </row>
    <row r="5626" spans="1:4">
      <c r="A5626" t="str">
        <f>"54459-AD00A"</f>
        <v>54459-AD00A</v>
      </c>
      <c r="B5626" t="str">
        <f>"Болт рычага подвески"</f>
        <v>Болт рычага подвески</v>
      </c>
      <c r="C5626">
        <v>0</v>
      </c>
      <c r="D5626">
        <v>135.45599999999999</v>
      </c>
    </row>
    <row r="5627" spans="1:4">
      <c r="A5627" t="str">
        <f>"54459-AX00C"</f>
        <v>54459-AX00C</v>
      </c>
      <c r="B5627" t="str">
        <f>"Болт рычага подвески"</f>
        <v>Болт рычага подвески</v>
      </c>
      <c r="C5627">
        <v>0</v>
      </c>
      <c r="D5627">
        <v>102</v>
      </c>
    </row>
    <row r="5628" spans="1:4">
      <c r="A5628" t="str">
        <f>"54459-AX02D"</f>
        <v>54459-AX02D</v>
      </c>
      <c r="B5628" t="str">
        <f>"Болт рычага подвески"</f>
        <v>Болт рычага подвески</v>
      </c>
      <c r="C5628">
        <v>0</v>
      </c>
      <c r="D5628">
        <v>108.11999999999999</v>
      </c>
    </row>
    <row r="5629" spans="1:4">
      <c r="A5629" t="str">
        <f>"54459-AX02E"</f>
        <v>54459-AX02E</v>
      </c>
      <c r="B5629" t="str">
        <f>"Болт подрамника"</f>
        <v>Болт подрамника</v>
      </c>
      <c r="C5629">
        <v>1</v>
      </c>
      <c r="D5629">
        <v>113.83199999999999</v>
      </c>
    </row>
    <row r="5630" spans="1:4">
      <c r="A5630" t="str">
        <f>"54464-CY00B"</f>
        <v>54464-CY00B</v>
      </c>
      <c r="B5630" t="str">
        <f>"Стопорная шайба балк"</f>
        <v>Стопорная шайба балк</v>
      </c>
      <c r="C5630">
        <v>32</v>
      </c>
      <c r="D5630">
        <v>322.32</v>
      </c>
    </row>
    <row r="5631" spans="1:4">
      <c r="A5631" t="str">
        <f>"54466-JD000"</f>
        <v>54466-JD000</v>
      </c>
      <c r="B5631" t="str">
        <f>"Втулка подрамник"</f>
        <v>Втулка подрамник</v>
      </c>
      <c r="C5631">
        <v>4</v>
      </c>
      <c r="D5631">
        <v>871.48799999999994</v>
      </c>
    </row>
    <row r="5632" spans="1:4">
      <c r="A5632" t="str">
        <f>"54467-BR00A"</f>
        <v>54467-BR00A</v>
      </c>
      <c r="B5632" t="str">
        <f>"Подушка балки мо"</f>
        <v>Подушка балки мо</v>
      </c>
      <c r="C5632">
        <v>13</v>
      </c>
      <c r="D5632">
        <v>263.56799999999998</v>
      </c>
    </row>
    <row r="5633" spans="1:4">
      <c r="A5633" t="str">
        <f>"54468-AC70F"</f>
        <v>54468-AC70F</v>
      </c>
      <c r="B5633" t="str">
        <f>"Продольная тяга подв"</f>
        <v>Продольная тяга подв</v>
      </c>
      <c r="C5633">
        <v>1</v>
      </c>
      <c r="D5633">
        <v>6583.4879999999994</v>
      </c>
    </row>
    <row r="5634" spans="1:4">
      <c r="A5634" t="str">
        <f>"54468-AC71F"</f>
        <v>54468-AC71F</v>
      </c>
      <c r="B5634" t="str">
        <f>"Рычаг передней подве"</f>
        <v>Рычаг передней подве</v>
      </c>
      <c r="C5634">
        <v>5</v>
      </c>
      <c r="D5634">
        <v>6647.9520000000002</v>
      </c>
    </row>
    <row r="5635" spans="1:4">
      <c r="A5635" t="str">
        <f>"54468-CD00C"</f>
        <v>54468-CD00C</v>
      </c>
      <c r="B5635" t="str">
        <f>"Рычаг передней подве"</f>
        <v>Рычаг передней подве</v>
      </c>
      <c r="C5635">
        <v>3</v>
      </c>
      <c r="D5635">
        <v>4596.5280000000002</v>
      </c>
    </row>
    <row r="5636" spans="1:4">
      <c r="A5636" t="str">
        <f>"54469-AC70F"</f>
        <v>54469-AC70F</v>
      </c>
      <c r="B5636" t="str">
        <f>"Рычаг передней подве"</f>
        <v>Рычаг передней подве</v>
      </c>
      <c r="C5636">
        <v>3</v>
      </c>
      <c r="D5636">
        <v>6569.616</v>
      </c>
    </row>
    <row r="5637" spans="1:4">
      <c r="A5637" t="str">
        <f>"54469-AC71F"</f>
        <v>54469-AC71F</v>
      </c>
      <c r="B5637" t="str">
        <f>"Рычаг передней подве"</f>
        <v>Рычаг передней подве</v>
      </c>
      <c r="C5637">
        <v>6</v>
      </c>
      <c r="D5637">
        <v>6545.1359999999995</v>
      </c>
    </row>
    <row r="5638" spans="1:4">
      <c r="A5638" t="str">
        <f>"54469-CD00C"</f>
        <v>54469-CD00C</v>
      </c>
      <c r="B5638" t="str">
        <f>"Рычаг передней подве"</f>
        <v>Рычаг передней подве</v>
      </c>
      <c r="C5638">
        <v>9</v>
      </c>
      <c r="D5638">
        <v>4728.3119999999999</v>
      </c>
    </row>
    <row r="5639" spans="1:4">
      <c r="A5639" t="str">
        <f>"54470-31G00"</f>
        <v>54470-31G00</v>
      </c>
      <c r="B5639" t="str">
        <f>"ROD-TENSION RH"</f>
        <v>ROD-TENSION RH</v>
      </c>
      <c r="C5639">
        <v>4</v>
      </c>
      <c r="D5639">
        <v>1199.52</v>
      </c>
    </row>
    <row r="5640" spans="1:4">
      <c r="A5640" t="str">
        <f>"54474-01G00"</f>
        <v>54474-01G00</v>
      </c>
      <c r="B5640" t="str">
        <f>"WASHER PLAIN"</f>
        <v>WASHER PLAIN</v>
      </c>
      <c r="C5640">
        <v>9</v>
      </c>
      <c r="D5640">
        <v>147.28799999999998</v>
      </c>
    </row>
    <row r="5641" spans="1:4">
      <c r="A5641" t="str">
        <f>"54474-01J0A"</f>
        <v>54474-01J0A</v>
      </c>
      <c r="B5641" t="str">
        <f>"Шайба продольной тяг"</f>
        <v>Шайба продольной тяг</v>
      </c>
      <c r="C5641">
        <v>4</v>
      </c>
      <c r="D5641">
        <v>144.024</v>
      </c>
    </row>
    <row r="5642" spans="1:4">
      <c r="A5642" t="str">
        <f>"54474-01J1A"</f>
        <v>54474-01J1A</v>
      </c>
      <c r="B5642" t="str">
        <f>"Шайба продольной тяг"</f>
        <v>Шайба продольной тяг</v>
      </c>
      <c r="C5642">
        <v>8</v>
      </c>
      <c r="D5642">
        <v>45.288000000000004</v>
      </c>
    </row>
    <row r="5643" spans="1:4">
      <c r="A5643" t="str">
        <f>"54476-01N00"</f>
        <v>54476-01N00</v>
      </c>
      <c r="B5643" t="str">
        <f>"BUSHING-RUBBER"</f>
        <v>BUSHING-RUBBER</v>
      </c>
      <c r="C5643">
        <v>8</v>
      </c>
      <c r="D5643">
        <v>197.88</v>
      </c>
    </row>
    <row r="5644" spans="1:4">
      <c r="A5644" t="str">
        <f>"54476-01W00"</f>
        <v>54476-01W00</v>
      </c>
      <c r="B5644" t="str">
        <f>"BUSHING-RUBBER"</f>
        <v>BUSHING-RUBBER</v>
      </c>
      <c r="C5644">
        <v>20</v>
      </c>
      <c r="D5644">
        <v>223.99199999999999</v>
      </c>
    </row>
    <row r="5645" spans="1:4">
      <c r="A5645" t="str">
        <f>"54476-AA000"</f>
        <v>54476-AA000</v>
      </c>
      <c r="B5645" t="str">
        <f>"Втулка тяги подвески"</f>
        <v>Втулка тяги подвески</v>
      </c>
      <c r="C5645">
        <v>15</v>
      </c>
      <c r="D5645">
        <v>1155.048</v>
      </c>
    </row>
    <row r="5646" spans="1:4">
      <c r="A5646" t="str">
        <f>"54477-G8010"</f>
        <v>54477-G8010</v>
      </c>
      <c r="B5646" t="str">
        <f>"BUSH STRUT BAR"</f>
        <v>BUSH STRUT BAR</v>
      </c>
      <c r="C5646">
        <v>16</v>
      </c>
      <c r="D5646">
        <v>169.32</v>
      </c>
    </row>
    <row r="5647" spans="1:4">
      <c r="A5647" t="str">
        <f>"54477-T6000"</f>
        <v>54477-T6000</v>
      </c>
      <c r="B5647" t="str">
        <f>"WASHER PLAIN"</f>
        <v>WASHER PLAIN</v>
      </c>
      <c r="C5647">
        <v>0</v>
      </c>
      <c r="D5647">
        <v>120.35999999999999</v>
      </c>
    </row>
    <row r="5648" spans="1:4">
      <c r="A5648" t="str">
        <f>"54479-50W0A"</f>
        <v>54479-50W0A</v>
      </c>
      <c r="B5648" t="str">
        <f>"Втулка тяги подвески"</f>
        <v>Втулка тяги подвески</v>
      </c>
      <c r="C5648">
        <v>47</v>
      </c>
      <c r="D5648">
        <v>98.327999999999989</v>
      </c>
    </row>
    <row r="5649" spans="1:4">
      <c r="A5649" t="str">
        <f>"54494-AV700"</f>
        <v>54494-AV700</v>
      </c>
      <c r="B5649" t="str">
        <f>"BAR-CROSS,FRONT"</f>
        <v>BAR-CROSS,FRONT</v>
      </c>
      <c r="C5649">
        <v>1</v>
      </c>
      <c r="D5649">
        <v>2567.9519999999998</v>
      </c>
    </row>
    <row r="5650" spans="1:4">
      <c r="A5650" t="str">
        <f>"54500-0M060"</f>
        <v>54500-0M060</v>
      </c>
      <c r="B5650" t="str">
        <f>"LINK COMPL,RH"</f>
        <v>LINK COMPL,RH</v>
      </c>
      <c r="C5650">
        <v>2</v>
      </c>
      <c r="D5650">
        <v>5143.6559999999999</v>
      </c>
    </row>
    <row r="5651" spans="1:4">
      <c r="A5651" t="str">
        <f>"54500-0W001"</f>
        <v>54500-0W001</v>
      </c>
      <c r="B5651" t="str">
        <f>"LINK COMPL,RH"</f>
        <v>LINK COMPL,RH</v>
      </c>
      <c r="C5651">
        <v>6</v>
      </c>
      <c r="D5651">
        <v>5572.4639999999999</v>
      </c>
    </row>
    <row r="5652" spans="1:4">
      <c r="A5652" t="str">
        <f>"54500-1AA0A"</f>
        <v>54500-1AA0A</v>
      </c>
      <c r="B5652" t="str">
        <f>"Рычаг передний нижни"</f>
        <v>Рычаг передний нижни</v>
      </c>
      <c r="C5652">
        <v>0</v>
      </c>
      <c r="D5652">
        <v>7490.0640000000003</v>
      </c>
    </row>
    <row r="5653" spans="1:4">
      <c r="A5653" t="str">
        <f>"54500-1C111"</f>
        <v>54500-1C111</v>
      </c>
      <c r="B5653" t="str">
        <f>"LINK COMPL"</f>
        <v>LINK COMPL</v>
      </c>
      <c r="C5653">
        <v>1</v>
      </c>
      <c r="D5653">
        <v>5179.5600000000004</v>
      </c>
    </row>
    <row r="5654" spans="1:4">
      <c r="A5654" t="str">
        <f>"54500-1CA1A"</f>
        <v>54500-1CA1A</v>
      </c>
      <c r="B5654" t="str">
        <f>"Рычаг передний нижни"</f>
        <v>Рычаг передний нижни</v>
      </c>
      <c r="C5654">
        <v>5</v>
      </c>
      <c r="D5654">
        <v>10393.392</v>
      </c>
    </row>
    <row r="5655" spans="1:4">
      <c r="A5655" t="str">
        <f>"54500-1NA3A"</f>
        <v>54500-1NA3A</v>
      </c>
      <c r="B5655" t="str">
        <f>"Рычаг передний нижни"</f>
        <v>Рычаг передний нижни</v>
      </c>
      <c r="C5655">
        <v>12</v>
      </c>
      <c r="D5655">
        <v>7519.44</v>
      </c>
    </row>
    <row r="5656" spans="1:4">
      <c r="A5656" t="str">
        <f>"54500-2U711"</f>
        <v>54500-2U711</v>
      </c>
      <c r="B5656" t="str">
        <f>"LINK COMPL,RH"</f>
        <v>LINK COMPL,RH</v>
      </c>
      <c r="C5656">
        <v>8</v>
      </c>
      <c r="D5656">
        <v>3700.9679999999998</v>
      </c>
    </row>
    <row r="5657" spans="1:4">
      <c r="A5657" t="str">
        <f>"54500-2Y412"</f>
        <v>54500-2Y412</v>
      </c>
      <c r="B5657" t="str">
        <f>"LINK COMPL,RH"</f>
        <v>LINK COMPL,RH</v>
      </c>
      <c r="C5657">
        <v>0</v>
      </c>
      <c r="D5657">
        <v>5485.9679999999998</v>
      </c>
    </row>
    <row r="5658" spans="1:4">
      <c r="A5658" t="str">
        <f>"54500-4N000"</f>
        <v>54500-4N000</v>
      </c>
      <c r="B5658" t="str">
        <f>"LINK COMPL,RH"</f>
        <v>LINK COMPL,RH</v>
      </c>
      <c r="C5658">
        <v>4</v>
      </c>
      <c r="D5658">
        <v>4728.3119999999999</v>
      </c>
    </row>
    <row r="5659" spans="1:4">
      <c r="A5659" t="str">
        <f>"54500-4U012"</f>
        <v>54500-4U012</v>
      </c>
      <c r="B5659" t="str">
        <f>"LINK COMPL,RH"</f>
        <v>LINK COMPL,RH</v>
      </c>
      <c r="C5659">
        <v>5</v>
      </c>
      <c r="D5659">
        <v>6440.28</v>
      </c>
    </row>
    <row r="5660" spans="1:4">
      <c r="A5660" t="str">
        <f>"54500-8H31A"</f>
        <v>54500-8H31A</v>
      </c>
      <c r="B5660" t="str">
        <f>"Рычаг передний нижни"</f>
        <v>Рычаг передний нижни</v>
      </c>
      <c r="C5660">
        <v>55</v>
      </c>
      <c r="D5660">
        <v>6062.0640000000003</v>
      </c>
    </row>
    <row r="5661" spans="1:4">
      <c r="A5661" t="str">
        <f>"54500-95F0A"</f>
        <v>54500-95F0A</v>
      </c>
      <c r="B5661" t="str">
        <f>"Рычаг передний нижни"</f>
        <v>Рычаг передний нижни</v>
      </c>
      <c r="C5661">
        <v>51</v>
      </c>
      <c r="D5661">
        <v>5281.9679999999998</v>
      </c>
    </row>
    <row r="5662" spans="1:4">
      <c r="A5662" t="str">
        <f>"54500-9W20C"</f>
        <v>54500-9W20C</v>
      </c>
      <c r="B5662" t="str">
        <f>"Рычаг передний нижни"</f>
        <v>Рычаг передний нижни</v>
      </c>
      <c r="C5662">
        <v>4</v>
      </c>
      <c r="D5662">
        <v>6418.2479999999996</v>
      </c>
    </row>
    <row r="5663" spans="1:4">
      <c r="A5663" t="str">
        <f>"54500-AD067"</f>
        <v>54500-AD067</v>
      </c>
      <c r="B5663" t="str">
        <f>"LINK COMPL,RH"</f>
        <v>LINK COMPL,RH</v>
      </c>
      <c r="C5663">
        <v>0</v>
      </c>
      <c r="D5663">
        <v>4940.8799999999992</v>
      </c>
    </row>
    <row r="5664" spans="1:4">
      <c r="A5664" t="str">
        <f>"54500-AG500"</f>
        <v>54500-AG500</v>
      </c>
      <c r="B5664" t="str">
        <f>"Рычаг передний нижни"</f>
        <v>Рычаг передний нижни</v>
      </c>
      <c r="C5664">
        <v>3</v>
      </c>
      <c r="D5664">
        <v>5934.768</v>
      </c>
    </row>
    <row r="5665" spans="1:4">
      <c r="A5665" t="str">
        <f>"54500-AM601"</f>
        <v>54500-AM601</v>
      </c>
      <c r="B5665" t="str">
        <f>"LINK COMPL-TRAN"</f>
        <v>LINK COMPL-TRAN</v>
      </c>
      <c r="C5665">
        <v>9</v>
      </c>
      <c r="D5665">
        <v>5275.0319999999992</v>
      </c>
    </row>
    <row r="5666" spans="1:4">
      <c r="A5666" t="str">
        <f>"54500-AU010"</f>
        <v>54500-AU010</v>
      </c>
      <c r="B5666" t="str">
        <f>"LINK COMPL,RH"</f>
        <v>LINK COMPL,RH</v>
      </c>
      <c r="C5666">
        <v>15</v>
      </c>
      <c r="D5666">
        <v>6405.5999999999995</v>
      </c>
    </row>
    <row r="5667" spans="1:4">
      <c r="A5667" t="str">
        <f>"54500-AX00E"</f>
        <v>54500-AX00E</v>
      </c>
      <c r="B5667" t="str">
        <f>"Рычаг передний нижни"</f>
        <v>Рычаг передний нижни</v>
      </c>
      <c r="C5667">
        <v>4</v>
      </c>
      <c r="D5667">
        <v>4272.1679999999997</v>
      </c>
    </row>
    <row r="5668" spans="1:4">
      <c r="A5668" t="str">
        <f>"54500-BC42A"</f>
        <v>54500-BC42A</v>
      </c>
      <c r="B5668" t="str">
        <f>"Рычаг передний нижни"</f>
        <v>Рычаг передний нижни</v>
      </c>
      <c r="C5668">
        <v>18</v>
      </c>
      <c r="D5668">
        <v>5699.3519999999999</v>
      </c>
    </row>
    <row r="5669" spans="1:4">
      <c r="A5669" t="str">
        <f>"54500-CC40B"</f>
        <v>54500-CC40B</v>
      </c>
      <c r="B5669" t="str">
        <f>"Рычаг передний нижни"</f>
        <v>Рычаг передний нижни</v>
      </c>
      <c r="C5669">
        <v>14</v>
      </c>
      <c r="D5669">
        <v>6814.4160000000002</v>
      </c>
    </row>
    <row r="5670" spans="1:4">
      <c r="A5670" t="str">
        <f>"54500-CC40E"</f>
        <v>54500-CC40E</v>
      </c>
      <c r="B5670" t="str">
        <f>"Рычаг передний нижни"</f>
        <v>Рычаг передний нижни</v>
      </c>
      <c r="C5670">
        <v>0</v>
      </c>
      <c r="D5670">
        <v>6814.4160000000002</v>
      </c>
    </row>
    <row r="5671" spans="1:4">
      <c r="A5671" t="str">
        <f>"54500-CG200"</f>
        <v>54500-CG200</v>
      </c>
      <c r="B5671" t="str">
        <f>"LINK COMPL-TRAN"</f>
        <v>LINK COMPL-TRAN</v>
      </c>
      <c r="C5671">
        <v>10</v>
      </c>
      <c r="D5671">
        <v>8238.7439999999988</v>
      </c>
    </row>
    <row r="5672" spans="1:4">
      <c r="A5672" t="str">
        <f>"54500-CK000"</f>
        <v>54500-CK000</v>
      </c>
      <c r="B5672" t="str">
        <f>"Рычаг передний нижни"</f>
        <v>Рычаг передний нижни</v>
      </c>
      <c r="C5672">
        <v>4</v>
      </c>
      <c r="D5672">
        <v>7876.848</v>
      </c>
    </row>
    <row r="5673" spans="1:4">
      <c r="A5673" t="str">
        <f>"54500-EA00A"</f>
        <v>54500-EA00A</v>
      </c>
      <c r="B5673" t="str">
        <f>"Рычаг нижний пра"</f>
        <v>Рычаг нижний пра</v>
      </c>
      <c r="C5673">
        <v>0</v>
      </c>
      <c r="D5673">
        <v>6291.768</v>
      </c>
    </row>
    <row r="5674" spans="1:4">
      <c r="A5674" t="str">
        <f>"54500-EB31C"</f>
        <v>54500-EB31C</v>
      </c>
      <c r="B5674" t="str">
        <f>"Рычаг передний нижни"</f>
        <v>Рычаг передний нижни</v>
      </c>
      <c r="C5674">
        <v>6</v>
      </c>
      <c r="D5674">
        <v>7669.5839999999989</v>
      </c>
    </row>
    <row r="5675" spans="1:4">
      <c r="A5675" t="str">
        <f>"54500-EJ71A"</f>
        <v>54500-EJ71A</v>
      </c>
      <c r="B5675" t="str">
        <f>"Рычаг передний нижни"</f>
        <v>Рычаг передний нижни</v>
      </c>
      <c r="C5675">
        <v>10</v>
      </c>
      <c r="D5675">
        <v>12047.016</v>
      </c>
    </row>
    <row r="5676" spans="1:4">
      <c r="A5676" t="str">
        <f>"54500-EL00A"</f>
        <v>54500-EL00A</v>
      </c>
      <c r="B5676" t="str">
        <f>"Рычаг передний нижни"</f>
        <v>Рычаг передний нижни</v>
      </c>
      <c r="C5676">
        <v>0</v>
      </c>
      <c r="D5676">
        <v>3451.68</v>
      </c>
    </row>
    <row r="5677" spans="1:4">
      <c r="A5677" t="str">
        <f>"54500-JG00A"</f>
        <v>54500-JG00A</v>
      </c>
      <c r="B5677" t="str">
        <f>"Рычаг передний нижни"</f>
        <v>Рычаг передний нижни</v>
      </c>
      <c r="C5677">
        <v>24</v>
      </c>
      <c r="D5677">
        <v>5535.3359999999993</v>
      </c>
    </row>
    <row r="5678" spans="1:4">
      <c r="A5678" t="str">
        <f>"54500-JN00B"</f>
        <v>54500-JN00B</v>
      </c>
      <c r="B5678" t="str">
        <f>"Рычаг передний нижни"</f>
        <v>Рычаг передний нижни</v>
      </c>
      <c r="C5678">
        <v>0</v>
      </c>
      <c r="D5678">
        <v>5305.2240000000002</v>
      </c>
    </row>
    <row r="5679" spans="1:4">
      <c r="A5679" t="str">
        <f>"54500-WA600"</f>
        <v>54500-WA600</v>
      </c>
      <c r="B5679" t="str">
        <f>"LINK COMPL,RH"</f>
        <v>LINK COMPL,RH</v>
      </c>
      <c r="C5679">
        <v>1</v>
      </c>
      <c r="D5679">
        <v>4816.848</v>
      </c>
    </row>
    <row r="5680" spans="1:4">
      <c r="A5680" t="str">
        <f>"54500-WD000"</f>
        <v>54500-WD000</v>
      </c>
      <c r="B5680" t="str">
        <f>"Рычаг передний нижни"</f>
        <v>Рычаг передний нижни</v>
      </c>
      <c r="C5680">
        <v>2</v>
      </c>
      <c r="D5680">
        <v>4264.8239999999996</v>
      </c>
    </row>
    <row r="5681" spans="1:4">
      <c r="A5681" t="str">
        <f>"54500-ZQ00A"</f>
        <v>54500-ZQ00A</v>
      </c>
      <c r="B5681" t="str">
        <f>"Рычаг передний нижни"</f>
        <v>Рычаг передний нижни</v>
      </c>
      <c r="C5681">
        <v>3</v>
      </c>
      <c r="D5681">
        <v>6402.7439999999997</v>
      </c>
    </row>
    <row r="5682" spans="1:4">
      <c r="A5682" t="str">
        <f>"54500-ZR00A"</f>
        <v>54500-ZR00A</v>
      </c>
      <c r="B5682" t="str">
        <f>"Рычаг передний нижни"</f>
        <v>Рычаг передний нижни</v>
      </c>
      <c r="C5682">
        <v>13</v>
      </c>
      <c r="D5682">
        <v>9765.887999999999</v>
      </c>
    </row>
    <row r="5683" spans="1:4">
      <c r="A5683" t="str">
        <f>"54501-0M060"</f>
        <v>54501-0M060</v>
      </c>
      <c r="B5683" t="str">
        <f>"LINK COMPL,LH"</f>
        <v>LINK COMPL,LH</v>
      </c>
      <c r="C5683">
        <v>2</v>
      </c>
      <c r="D5683">
        <v>5094.2879999999996</v>
      </c>
    </row>
    <row r="5684" spans="1:4">
      <c r="A5684" t="str">
        <f>"54501-0W001"</f>
        <v>54501-0W001</v>
      </c>
      <c r="B5684" t="str">
        <f>"LINK COMPL"</f>
        <v>LINK COMPL</v>
      </c>
      <c r="C5684">
        <v>7</v>
      </c>
      <c r="D5684">
        <v>5526.36</v>
      </c>
    </row>
    <row r="5685" spans="1:4">
      <c r="A5685" t="str">
        <f>"54501-1AA0A"</f>
        <v>54501-1AA0A</v>
      </c>
      <c r="B5685" t="str">
        <f>"Рычаг передний нижни"</f>
        <v>Рычаг передний нижни</v>
      </c>
      <c r="C5685">
        <v>0</v>
      </c>
      <c r="D5685">
        <v>7496.1839999999993</v>
      </c>
    </row>
    <row r="5686" spans="1:4">
      <c r="A5686" t="str">
        <f>"54501-1C111"</f>
        <v>54501-1C111</v>
      </c>
      <c r="B5686" t="str">
        <f>"LINK COMPL"</f>
        <v>LINK COMPL</v>
      </c>
      <c r="C5686">
        <v>2</v>
      </c>
      <c r="D5686">
        <v>5488.0079999999998</v>
      </c>
    </row>
    <row r="5687" spans="1:4">
      <c r="A5687" t="str">
        <f>"54501-1CA1A"</f>
        <v>54501-1CA1A</v>
      </c>
      <c r="B5687" t="str">
        <f>"Рычаг передний нижни"</f>
        <v>Рычаг передний нижни</v>
      </c>
      <c r="C5687">
        <v>1</v>
      </c>
      <c r="D5687">
        <v>10462.751999999999</v>
      </c>
    </row>
    <row r="5688" spans="1:4">
      <c r="A5688" t="str">
        <f>"54501-1NA3A"</f>
        <v>54501-1NA3A</v>
      </c>
      <c r="B5688" t="str">
        <f>"Рычаг передний нижни"</f>
        <v>Рычаг передний нижни</v>
      </c>
      <c r="C5688">
        <v>12</v>
      </c>
      <c r="D5688">
        <v>8562.2879999999986</v>
      </c>
    </row>
    <row r="5689" spans="1:4">
      <c r="A5689" t="str">
        <f>"54501-2U711"</f>
        <v>54501-2U711</v>
      </c>
      <c r="B5689" t="str">
        <f>"LINK COMPL,LH"</f>
        <v>LINK COMPL,LH</v>
      </c>
      <c r="C5689">
        <v>6</v>
      </c>
      <c r="D5689">
        <v>3768.2879999999996</v>
      </c>
    </row>
    <row r="5690" spans="1:4">
      <c r="A5690" t="str">
        <f>"54501-2Y412"</f>
        <v>54501-2Y412</v>
      </c>
      <c r="B5690" t="str">
        <f>"LINK COMPL,LH"</f>
        <v>LINK COMPL,LH</v>
      </c>
      <c r="C5690">
        <v>31</v>
      </c>
      <c r="D5690">
        <v>5470.8720000000003</v>
      </c>
    </row>
    <row r="5691" spans="1:4">
      <c r="A5691" t="str">
        <f>"54501-4N000"</f>
        <v>54501-4N000</v>
      </c>
      <c r="B5691" t="str">
        <f>"LINK COMPL,LH"</f>
        <v>LINK COMPL,LH</v>
      </c>
      <c r="C5691">
        <v>21</v>
      </c>
      <c r="D5691">
        <v>4338.2639999999992</v>
      </c>
    </row>
    <row r="5692" spans="1:4">
      <c r="A5692" t="str">
        <f>"54501-5U300"</f>
        <v>54501-5U300</v>
      </c>
      <c r="B5692" t="str">
        <f>"Рычаг передний нижни"</f>
        <v>Рычаг передний нижни</v>
      </c>
      <c r="C5692">
        <v>5</v>
      </c>
      <c r="D5692">
        <v>5800.9439999999995</v>
      </c>
    </row>
    <row r="5693" spans="1:4">
      <c r="A5693" t="str">
        <f>"54501-8H31A"</f>
        <v>54501-8H31A</v>
      </c>
      <c r="B5693" t="str">
        <f>"Рычаг передний нижни"</f>
        <v>Рычаг передний нижни</v>
      </c>
      <c r="C5693">
        <v>0</v>
      </c>
      <c r="D5693">
        <v>6049.0079999999998</v>
      </c>
    </row>
    <row r="5694" spans="1:4">
      <c r="A5694" t="str">
        <f>"54501-95F0A"</f>
        <v>54501-95F0A</v>
      </c>
      <c r="B5694" t="str">
        <f>"Рычаг передний нижни"</f>
        <v>Рычаг передний нижни</v>
      </c>
      <c r="C5694">
        <v>42</v>
      </c>
      <c r="D5694">
        <v>5281.9679999999998</v>
      </c>
    </row>
    <row r="5695" spans="1:4">
      <c r="A5695" t="str">
        <f>"54501-9W50B"</f>
        <v>54501-9W50B</v>
      </c>
      <c r="B5695" t="str">
        <f>"Рычаг передний нижни"</f>
        <v>Рычаг передний нижни</v>
      </c>
      <c r="C5695">
        <v>12</v>
      </c>
      <c r="D5695">
        <v>5918.8559999999998</v>
      </c>
    </row>
    <row r="5696" spans="1:4">
      <c r="A5696" t="str">
        <f>"54501-AD067"</f>
        <v>54501-AD067</v>
      </c>
      <c r="B5696" t="str">
        <f>"LINK COMPL,LH"</f>
        <v>LINK COMPL,LH</v>
      </c>
      <c r="C5696">
        <v>0</v>
      </c>
      <c r="D5696">
        <v>5637.7439999999997</v>
      </c>
    </row>
    <row r="5697" spans="1:4">
      <c r="A5697" t="str">
        <f>"54501-AG500"</f>
        <v>54501-AG500</v>
      </c>
      <c r="B5697" t="str">
        <f>"Рычаг передний нижни"</f>
        <v>Рычаг передний нижни</v>
      </c>
      <c r="C5697">
        <v>1</v>
      </c>
      <c r="D5697">
        <v>5882.5439999999999</v>
      </c>
    </row>
    <row r="5698" spans="1:4">
      <c r="A5698" t="str">
        <f>"54501-AM601"</f>
        <v>54501-AM601</v>
      </c>
      <c r="B5698" t="str">
        <f>"Рычаг передний нижни"</f>
        <v>Рычаг передний нижни</v>
      </c>
      <c r="C5698">
        <v>13</v>
      </c>
      <c r="D5698">
        <v>6146.1120000000001</v>
      </c>
    </row>
    <row r="5699" spans="1:4">
      <c r="A5699" t="str">
        <f>"54501-AU010"</f>
        <v>54501-AU010</v>
      </c>
      <c r="B5699" t="str">
        <f>"LINK COMPL,LH"</f>
        <v>LINK COMPL,LH</v>
      </c>
      <c r="C5699">
        <v>29</v>
      </c>
      <c r="D5699">
        <v>6405.5999999999995</v>
      </c>
    </row>
    <row r="5700" spans="1:4">
      <c r="A5700" t="str">
        <f>"54501-AX00E"</f>
        <v>54501-AX00E</v>
      </c>
      <c r="B5700" t="str">
        <f>"Рычаг передний нижни"</f>
        <v>Рычаг передний нижни</v>
      </c>
      <c r="C5700">
        <v>0</v>
      </c>
      <c r="D5700">
        <v>4266.0479999999998</v>
      </c>
    </row>
    <row r="5701" spans="1:4">
      <c r="A5701" t="str">
        <f>"54501-BC42A"</f>
        <v>54501-BC42A</v>
      </c>
      <c r="B5701" t="str">
        <f>"Рычаг передний нижни"</f>
        <v>Рычаг передний нижни</v>
      </c>
      <c r="C5701">
        <v>0</v>
      </c>
      <c r="D5701">
        <v>5505.1439999999993</v>
      </c>
    </row>
    <row r="5702" spans="1:4">
      <c r="A5702" t="str">
        <f>"54501-CC40E"</f>
        <v>54501-CC40E</v>
      </c>
      <c r="B5702" t="str">
        <f>"Рычаг передний нижни"</f>
        <v>Рычаг передний нижни</v>
      </c>
      <c r="C5702">
        <v>0</v>
      </c>
      <c r="D5702">
        <v>6721.8</v>
      </c>
    </row>
    <row r="5703" spans="1:4">
      <c r="A5703" t="str">
        <f>"54501-CG200"</f>
        <v>54501-CG200</v>
      </c>
      <c r="B5703" t="str">
        <f>"LINK COMP TRAN"</f>
        <v>LINK COMP TRAN</v>
      </c>
      <c r="C5703">
        <v>6</v>
      </c>
      <c r="D5703">
        <v>8369.7119999999995</v>
      </c>
    </row>
    <row r="5704" spans="1:4">
      <c r="A5704" t="str">
        <f>"54501-CK000"</f>
        <v>54501-CK000</v>
      </c>
      <c r="B5704" t="str">
        <f t="shared" ref="B5704:B5710" si="106">"Рычаг передний нижни"</f>
        <v>Рычаг передний нижни</v>
      </c>
      <c r="C5704">
        <v>8</v>
      </c>
      <c r="D5704">
        <v>7273.4160000000002</v>
      </c>
    </row>
    <row r="5705" spans="1:4">
      <c r="A5705" t="str">
        <f>"54501-EA00A"</f>
        <v>54501-EA00A</v>
      </c>
      <c r="B5705" t="str">
        <f t="shared" si="106"/>
        <v>Рычаг передний нижни</v>
      </c>
      <c r="C5705">
        <v>0</v>
      </c>
      <c r="D5705">
        <v>6291.768</v>
      </c>
    </row>
    <row r="5706" spans="1:4">
      <c r="A5706" t="str">
        <f>"54501-EB31C"</f>
        <v>54501-EB31C</v>
      </c>
      <c r="B5706" t="str">
        <f t="shared" si="106"/>
        <v>Рычаг передний нижни</v>
      </c>
      <c r="C5706">
        <v>41</v>
      </c>
      <c r="D5706">
        <v>9119.2080000000005</v>
      </c>
    </row>
    <row r="5707" spans="1:4">
      <c r="A5707" t="str">
        <f>"54501-EJ71A"</f>
        <v>54501-EJ71A</v>
      </c>
      <c r="B5707" t="str">
        <f t="shared" si="106"/>
        <v>Рычаг передний нижни</v>
      </c>
      <c r="C5707">
        <v>5</v>
      </c>
      <c r="D5707">
        <v>10355.855999999998</v>
      </c>
    </row>
    <row r="5708" spans="1:4">
      <c r="A5708" t="str">
        <f>"54501-EL00A"</f>
        <v>54501-EL00A</v>
      </c>
      <c r="B5708" t="str">
        <f t="shared" si="106"/>
        <v>Рычаг передний нижни</v>
      </c>
      <c r="C5708">
        <v>0</v>
      </c>
      <c r="D5708">
        <v>3338.2559999999999</v>
      </c>
    </row>
    <row r="5709" spans="1:4">
      <c r="A5709" t="str">
        <f>"54501-JG00A"</f>
        <v>54501-JG00A</v>
      </c>
      <c r="B5709" t="str">
        <f t="shared" si="106"/>
        <v>Рычаг передний нижни</v>
      </c>
      <c r="C5709">
        <v>26</v>
      </c>
      <c r="D5709">
        <v>5527.1759999999995</v>
      </c>
    </row>
    <row r="5710" spans="1:4">
      <c r="A5710" t="str">
        <f>"54501-JN00B"</f>
        <v>54501-JN00B</v>
      </c>
      <c r="B5710" t="str">
        <f t="shared" si="106"/>
        <v>Рычаг передний нижни</v>
      </c>
      <c r="C5710">
        <v>0</v>
      </c>
      <c r="D5710">
        <v>7088.5919999999996</v>
      </c>
    </row>
    <row r="5711" spans="1:4">
      <c r="A5711" t="str">
        <f>"54501-WA600"</f>
        <v>54501-WA600</v>
      </c>
      <c r="B5711" t="str">
        <f>"LINK COMPL,LH"</f>
        <v>LINK COMPL,LH</v>
      </c>
      <c r="C5711">
        <v>10</v>
      </c>
      <c r="D5711">
        <v>5904.5759999999991</v>
      </c>
    </row>
    <row r="5712" spans="1:4">
      <c r="A5712" t="str">
        <f>"54501-WD000"</f>
        <v>54501-WD000</v>
      </c>
      <c r="B5712" t="str">
        <f>"Рычаг передний нижни"</f>
        <v>Рычаг передний нижни</v>
      </c>
      <c r="C5712">
        <v>0</v>
      </c>
      <c r="D5712">
        <v>4230.96</v>
      </c>
    </row>
    <row r="5713" spans="1:4">
      <c r="A5713" t="str">
        <f>"54501-ZQ00A"</f>
        <v>54501-ZQ00A</v>
      </c>
      <c r="B5713" t="str">
        <f>"Рычаг передний нижни"</f>
        <v>Рычаг передний нижни</v>
      </c>
      <c r="C5713">
        <v>0</v>
      </c>
      <c r="D5713">
        <v>6390.9120000000003</v>
      </c>
    </row>
    <row r="5714" spans="1:4">
      <c r="A5714" t="str">
        <f>"54501-ZR00A"</f>
        <v>54501-ZR00A</v>
      </c>
      <c r="B5714" t="str">
        <f>"Рычаг передний нижни"</f>
        <v>Рычаг передний нижни</v>
      </c>
      <c r="C5714">
        <v>13</v>
      </c>
      <c r="D5714">
        <v>10183.679999999998</v>
      </c>
    </row>
    <row r="5715" spans="1:4">
      <c r="A5715" t="str">
        <f>"54502-7F000"</f>
        <v>54502-7F000</v>
      </c>
      <c r="B5715" t="str">
        <f>"LINK ASSY-FR RH"</f>
        <v>LINK ASSY-FR RH</v>
      </c>
      <c r="C5715">
        <v>3</v>
      </c>
      <c r="D5715">
        <v>4310.1120000000001</v>
      </c>
    </row>
    <row r="5716" spans="1:4">
      <c r="A5716" t="str">
        <f>"54503-7F000"</f>
        <v>54503-7F000</v>
      </c>
      <c r="B5716" t="str">
        <f>"LINK ASSY-FR LH"</f>
        <v>LINK ASSY-FR LH</v>
      </c>
      <c r="C5716">
        <v>0</v>
      </c>
      <c r="D5716">
        <v>4519.4159999999993</v>
      </c>
    </row>
    <row r="5717" spans="1:4">
      <c r="A5717" t="str">
        <f>"54506-B9500"</f>
        <v>54506-B9500</v>
      </c>
      <c r="B5717" t="str">
        <f>"BUSH UPPER LINK"</f>
        <v>BUSH UPPER LINK</v>
      </c>
      <c r="C5717">
        <v>12</v>
      </c>
      <c r="D5717">
        <v>249.696</v>
      </c>
    </row>
    <row r="5718" spans="1:4">
      <c r="A5718" t="str">
        <f>"54507-B950A"</f>
        <v>54507-B950A</v>
      </c>
      <c r="B5718" t="str">
        <f>"Стопорная шайба рыча"</f>
        <v>Стопорная шайба рыча</v>
      </c>
      <c r="C5718">
        <v>0</v>
      </c>
      <c r="D5718">
        <v>54.263999999999996</v>
      </c>
    </row>
    <row r="5719" spans="1:4">
      <c r="A5719" t="str">
        <f>"54509-0F00A"</f>
        <v>54509-0F00A</v>
      </c>
      <c r="B5719" t="str">
        <f>"Тяга торсиона"</f>
        <v>Тяга торсиона</v>
      </c>
      <c r="C5719">
        <v>7</v>
      </c>
      <c r="D5719">
        <v>473.68799999999999</v>
      </c>
    </row>
    <row r="5720" spans="1:4">
      <c r="A5720" t="str">
        <f>"54524-1CA0A"</f>
        <v>54524-1CA0A</v>
      </c>
      <c r="B5720" t="str">
        <f>"Рычаг передний верхн"</f>
        <v>Рычаг передний верхн</v>
      </c>
      <c r="C5720">
        <v>0</v>
      </c>
      <c r="D5720">
        <v>5988.6240000000007</v>
      </c>
    </row>
    <row r="5721" spans="1:4">
      <c r="A5721" t="str">
        <f>"54524-3J201"</f>
        <v>54524-3J201</v>
      </c>
      <c r="B5721" t="str">
        <f>"LINK COMPL,RH"</f>
        <v>LINK COMPL,RH</v>
      </c>
      <c r="C5721">
        <v>3</v>
      </c>
      <c r="D5721">
        <v>3804.1919999999996</v>
      </c>
    </row>
    <row r="5722" spans="1:4">
      <c r="A5722" t="str">
        <f>"54524-AQ300"</f>
        <v>54524-AQ300</v>
      </c>
      <c r="B5722" t="str">
        <f>"Рычаг передний верхн"</f>
        <v>Рычаг передний верхн</v>
      </c>
      <c r="C5722">
        <v>0</v>
      </c>
      <c r="D5722">
        <v>4552.8719999999994</v>
      </c>
    </row>
    <row r="5723" spans="1:4">
      <c r="A5723" t="str">
        <f>"54524-AU000"</f>
        <v>54524-AU000</v>
      </c>
      <c r="B5723" t="str">
        <f>"LINK COMPL,RH"</f>
        <v>LINK COMPL,RH</v>
      </c>
      <c r="C5723">
        <v>3</v>
      </c>
      <c r="D5723">
        <v>3003.6959999999999</v>
      </c>
    </row>
    <row r="5724" spans="1:4">
      <c r="A5724" t="str">
        <f>"54524-BC01A"</f>
        <v>54524-BC01A</v>
      </c>
      <c r="B5724" t="str">
        <f>"Рычаг передний верхн"</f>
        <v>Рычаг передний верхн</v>
      </c>
      <c r="C5724">
        <v>14</v>
      </c>
      <c r="D5724">
        <v>3104.88</v>
      </c>
    </row>
    <row r="5725" spans="1:4">
      <c r="A5725" t="str">
        <f>"54524-CF00A"</f>
        <v>54524-CF00A</v>
      </c>
      <c r="B5725" t="str">
        <f>"Рычаг передний верхн"</f>
        <v>Рычаг передний верхн</v>
      </c>
      <c r="C5725">
        <v>0</v>
      </c>
      <c r="D5725">
        <v>4219.5360000000001</v>
      </c>
    </row>
    <row r="5726" spans="1:4">
      <c r="A5726" t="str">
        <f>"54524-EB30A"</f>
        <v>54524-EB30A</v>
      </c>
      <c r="B5726" t="str">
        <f>"Рычаг передний верхн"</f>
        <v>Рычаг передний верхн</v>
      </c>
      <c r="C5726">
        <v>2</v>
      </c>
      <c r="D5726">
        <v>4859.28</v>
      </c>
    </row>
    <row r="5727" spans="1:4">
      <c r="A5727" t="str">
        <f>"54524-EG000"</f>
        <v>54524-EG000</v>
      </c>
      <c r="B5727" t="str">
        <f>"Рычаг верхний правый"</f>
        <v>Рычаг верхний правый</v>
      </c>
      <c r="C5727">
        <v>3</v>
      </c>
      <c r="D5727">
        <v>4768.7039999999997</v>
      </c>
    </row>
    <row r="5728" spans="1:4">
      <c r="A5728" t="str">
        <f>"54524-EL000"</f>
        <v>54524-EL000</v>
      </c>
      <c r="B5728" t="str">
        <f>"Рычаг передний верхн"</f>
        <v>Рычаг передний верхн</v>
      </c>
      <c r="C5728">
        <v>0</v>
      </c>
      <c r="D5728">
        <v>1660.56</v>
      </c>
    </row>
    <row r="5729" spans="1:4">
      <c r="A5729" t="str">
        <f>"54524-JK000"</f>
        <v>54524-JK000</v>
      </c>
      <c r="B5729" t="str">
        <f>"Рычаг верхний правый"</f>
        <v>Рычаг верхний правый</v>
      </c>
      <c r="C5729">
        <v>1</v>
      </c>
      <c r="D5729">
        <v>4539.8159999999998</v>
      </c>
    </row>
    <row r="5730" spans="1:4">
      <c r="A5730" t="str">
        <f>"54524-ZQ00A"</f>
        <v>54524-ZQ00A</v>
      </c>
      <c r="B5730" t="str">
        <f>"Рычаг передний верхн"</f>
        <v>Рычаг передний верхн</v>
      </c>
      <c r="C5730">
        <v>3</v>
      </c>
      <c r="D5730">
        <v>3940.056</v>
      </c>
    </row>
    <row r="5731" spans="1:4">
      <c r="A5731" t="str">
        <f>"54524-ZR00A"</f>
        <v>54524-ZR00A</v>
      </c>
      <c r="B5731" t="str">
        <f>"Рычаг передний верхн"</f>
        <v>Рычаг передний верхн</v>
      </c>
      <c r="C5731">
        <v>7</v>
      </c>
      <c r="D5731">
        <v>3949.0320000000002</v>
      </c>
    </row>
    <row r="5732" spans="1:4">
      <c r="A5732" t="str">
        <f>"54525-1CA0A"</f>
        <v>54525-1CA0A</v>
      </c>
      <c r="B5732" t="str">
        <f>"Рычаг передний верхн"</f>
        <v>Рычаг передний верхн</v>
      </c>
      <c r="C5732">
        <v>2</v>
      </c>
      <c r="D5732">
        <v>5926.6080000000002</v>
      </c>
    </row>
    <row r="5733" spans="1:4">
      <c r="A5733" t="str">
        <f>"54525-3J201"</f>
        <v>54525-3J201</v>
      </c>
      <c r="B5733" t="str">
        <f>"LINK COMPL,LH"</f>
        <v>LINK COMPL,LH</v>
      </c>
      <c r="C5733">
        <v>0</v>
      </c>
      <c r="D5733">
        <v>3293.3759999999997</v>
      </c>
    </row>
    <row r="5734" spans="1:4">
      <c r="A5734" t="str">
        <f>"54525-AL500"</f>
        <v>54525-AL500</v>
      </c>
      <c r="B5734" t="str">
        <f>"Рычаг передний верхн"</f>
        <v>Рычаг передний верхн</v>
      </c>
      <c r="C5734">
        <v>1</v>
      </c>
      <c r="D5734">
        <v>4113.4560000000001</v>
      </c>
    </row>
    <row r="5735" spans="1:4">
      <c r="A5735" t="str">
        <f>"54525-AQ300"</f>
        <v>54525-AQ300</v>
      </c>
      <c r="B5735" t="str">
        <f>"Рычаг передний верхн"</f>
        <v>Рычаг передний верхн</v>
      </c>
      <c r="C5735">
        <v>2</v>
      </c>
      <c r="D5735">
        <v>4550.8320000000003</v>
      </c>
    </row>
    <row r="5736" spans="1:4">
      <c r="A5736" t="str">
        <f>"54525-AU000"</f>
        <v>54525-AU000</v>
      </c>
      <c r="B5736" t="str">
        <f>"LINK COMPL,LH"</f>
        <v>LINK COMPL,LH</v>
      </c>
      <c r="C5736">
        <v>5</v>
      </c>
      <c r="D5736">
        <v>2951.88</v>
      </c>
    </row>
    <row r="5737" spans="1:4">
      <c r="A5737" t="str">
        <f>"54525-AX002"</f>
        <v>54525-AX002</v>
      </c>
      <c r="B5737" t="str">
        <f>"LINK COMPL,LH"</f>
        <v>LINK COMPL,LH</v>
      </c>
      <c r="C5737">
        <v>0</v>
      </c>
      <c r="D5737">
        <v>2043.6719999999998</v>
      </c>
    </row>
    <row r="5738" spans="1:4">
      <c r="A5738" t="str">
        <f>"54525-BC01A"</f>
        <v>54525-BC01A</v>
      </c>
      <c r="B5738" t="str">
        <f t="shared" ref="B5738:B5743" si="107">"Рычаг передний верхн"</f>
        <v>Рычаг передний верхн</v>
      </c>
      <c r="C5738">
        <v>0</v>
      </c>
      <c r="D5738">
        <v>2185.248</v>
      </c>
    </row>
    <row r="5739" spans="1:4">
      <c r="A5739" t="str">
        <f>"54525-EB30A"</f>
        <v>54525-EB30A</v>
      </c>
      <c r="B5739" t="str">
        <f t="shared" si="107"/>
        <v>Рычаг передний верхн</v>
      </c>
      <c r="C5739">
        <v>1</v>
      </c>
      <c r="D5739">
        <v>4863.3599999999997</v>
      </c>
    </row>
    <row r="5740" spans="1:4">
      <c r="A5740" t="str">
        <f>"54525-EL000"</f>
        <v>54525-EL000</v>
      </c>
      <c r="B5740" t="str">
        <f t="shared" si="107"/>
        <v>Рычаг передний верхн</v>
      </c>
      <c r="C5740">
        <v>0</v>
      </c>
      <c r="D5740">
        <v>1660.152</v>
      </c>
    </row>
    <row r="5741" spans="1:4">
      <c r="A5741" t="str">
        <f>"54525-JK000"</f>
        <v>54525-JK000</v>
      </c>
      <c r="B5741" t="str">
        <f t="shared" si="107"/>
        <v>Рычаг передний верхн</v>
      </c>
      <c r="C5741">
        <v>3</v>
      </c>
      <c r="D5741">
        <v>4696.08</v>
      </c>
    </row>
    <row r="5742" spans="1:4">
      <c r="A5742" t="str">
        <f>"54525-ZQ00A"</f>
        <v>54525-ZQ00A</v>
      </c>
      <c r="B5742" t="str">
        <f t="shared" si="107"/>
        <v>Рычаг передний верхн</v>
      </c>
      <c r="C5742">
        <v>3</v>
      </c>
      <c r="D5742">
        <v>2951.88</v>
      </c>
    </row>
    <row r="5743" spans="1:4">
      <c r="A5743" t="str">
        <f>"54525-ZR00A"</f>
        <v>54525-ZR00A</v>
      </c>
      <c r="B5743" t="str">
        <f t="shared" si="107"/>
        <v>Рычаг передний верхн</v>
      </c>
      <c r="C5743">
        <v>0</v>
      </c>
      <c r="D5743">
        <v>3927</v>
      </c>
    </row>
    <row r="5744" spans="1:4">
      <c r="A5744" t="str">
        <f>"54536-01G00"</f>
        <v>54536-01G00</v>
      </c>
      <c r="B5744" t="str">
        <f>"SPINDLE LINK 99"</f>
        <v>SPINDLE LINK 99</v>
      </c>
      <c r="C5744">
        <v>8</v>
      </c>
      <c r="D5744">
        <v>1547.5439999999999</v>
      </c>
    </row>
    <row r="5745" spans="1:4">
      <c r="A5745" t="str">
        <f>"54542-8B400"</f>
        <v>54542-8B400</v>
      </c>
      <c r="B5745" t="str">
        <f>"BUSH ASSY UPPER"</f>
        <v>BUSH ASSY UPPER</v>
      </c>
      <c r="C5745">
        <v>20</v>
      </c>
      <c r="D5745">
        <v>726.64799999999991</v>
      </c>
    </row>
    <row r="5746" spans="1:4">
      <c r="A5746" t="str">
        <f>"54542-9X500"</f>
        <v>54542-9X500</v>
      </c>
      <c r="B5746" t="str">
        <f>"Втулка верхнего рыча"</f>
        <v>Втулка верхнего рыча</v>
      </c>
      <c r="C5746">
        <v>2</v>
      </c>
      <c r="D5746">
        <v>1203.5999999999999</v>
      </c>
    </row>
    <row r="5747" spans="1:4">
      <c r="A5747" t="str">
        <f>"54542-G5100"</f>
        <v>54542-G5100</v>
      </c>
      <c r="B5747" t="str">
        <f>"BUSH UPPER LINK"</f>
        <v>BUSH UPPER LINK</v>
      </c>
      <c r="C5747">
        <v>17</v>
      </c>
      <c r="D5747">
        <v>223.17599999999999</v>
      </c>
    </row>
    <row r="5748" spans="1:4">
      <c r="A5748" t="str">
        <f>"54550-33P20"</f>
        <v>54550-33P20</v>
      </c>
      <c r="B5748" t="str">
        <f>"BOLT-UPPER LINK"</f>
        <v>BOLT-UPPER LINK</v>
      </c>
      <c r="C5748">
        <v>0</v>
      </c>
      <c r="D5748">
        <v>278.66399999999999</v>
      </c>
    </row>
    <row r="5749" spans="1:4">
      <c r="A5749" t="str">
        <f>"54550-50J00"</f>
        <v>54550-50J00</v>
      </c>
      <c r="B5749" t="str">
        <f>"BOLT-UPR LINK B"</f>
        <v>BOLT-UPR LINK B</v>
      </c>
      <c r="C5749">
        <v>0</v>
      </c>
      <c r="D5749">
        <v>143.208</v>
      </c>
    </row>
    <row r="5750" spans="1:4">
      <c r="A5750" t="str">
        <f>"54556-01G0A"</f>
        <v>54556-01G0A</v>
      </c>
      <c r="B5750" t="str">
        <f>"Фиксатор"</f>
        <v>Фиксатор</v>
      </c>
      <c r="C5750">
        <v>14</v>
      </c>
      <c r="D5750">
        <v>43.655999999999999</v>
      </c>
    </row>
    <row r="5751" spans="1:4">
      <c r="A5751" t="str">
        <f>"54559-1Z600"</f>
        <v>54559-1Z600</v>
      </c>
      <c r="B5751" t="str">
        <f>"Шайба эксцентрик рыч"</f>
        <v>Шайба эксцентрик рыч</v>
      </c>
      <c r="C5751">
        <v>15</v>
      </c>
      <c r="D5751">
        <v>136.27199999999999</v>
      </c>
    </row>
    <row r="5752" spans="1:4">
      <c r="A5752" t="str">
        <f>"54559-1Z60B"</f>
        <v>54559-1Z60B</v>
      </c>
      <c r="B5752" t="str">
        <f>"Шайба эксцентрик рыч"</f>
        <v>Шайба эксцентрик рыч</v>
      </c>
      <c r="C5752">
        <v>0</v>
      </c>
      <c r="D5752">
        <v>95.063999999999993</v>
      </c>
    </row>
    <row r="5753" spans="1:4">
      <c r="A5753" t="str">
        <f>"54559-2S40A"</f>
        <v>54559-2S40A</v>
      </c>
      <c r="B5753" t="str">
        <f>"Шайба регулировочная"</f>
        <v>Шайба регулировочная</v>
      </c>
      <c r="C5753">
        <v>67</v>
      </c>
      <c r="D5753">
        <v>115.056</v>
      </c>
    </row>
    <row r="5754" spans="1:4">
      <c r="A5754" t="str">
        <f>"54559-7S005"</f>
        <v>54559-7S005</v>
      </c>
      <c r="B5754" t="str">
        <f>"Шайба эксцентрик рыч"</f>
        <v>Шайба эксцентрик рыч</v>
      </c>
      <c r="C5754">
        <v>24</v>
      </c>
      <c r="D5754">
        <v>136.27199999999999</v>
      </c>
    </row>
    <row r="5755" spans="1:4">
      <c r="A5755" t="str">
        <f>"54560-01G00"</f>
        <v>54560-01G00</v>
      </c>
      <c r="B5755" t="str">
        <f>"BUSH LOW ARM"</f>
        <v>BUSH LOW ARM</v>
      </c>
      <c r="C5755">
        <v>0</v>
      </c>
      <c r="D5755">
        <v>672.79199999999992</v>
      </c>
    </row>
    <row r="5756" spans="1:4">
      <c r="A5756" t="str">
        <f>"54560-01J00"</f>
        <v>54560-01J00</v>
      </c>
      <c r="B5756" t="str">
        <f>"BUSH-COMP ROD"</f>
        <v>BUSH-COMP ROD</v>
      </c>
      <c r="C5756">
        <v>46</v>
      </c>
      <c r="D5756">
        <v>478.17599999999999</v>
      </c>
    </row>
    <row r="5757" spans="1:4">
      <c r="A5757" t="str">
        <f>"54560-30R10"</f>
        <v>54560-30R10</v>
      </c>
      <c r="B5757" t="str">
        <f>"BUSH RUBBER"</f>
        <v>BUSH RUBBER</v>
      </c>
      <c r="C5757">
        <v>11</v>
      </c>
      <c r="D5757">
        <v>490.00799999999992</v>
      </c>
    </row>
    <row r="5758" spans="1:4">
      <c r="A5758" t="str">
        <f>"54560-3S800-B"</f>
        <v>54560-3S800-B</v>
      </c>
      <c r="B5758" t="str">
        <f>"Сайлентблок рычага п"</f>
        <v>Сайлентблок рычага п</v>
      </c>
      <c r="C5758">
        <v>27</v>
      </c>
      <c r="D5758">
        <v>672.79199999999992</v>
      </c>
    </row>
    <row r="5759" spans="1:4">
      <c r="A5759" t="str">
        <f>"54570-0M020"</f>
        <v>54570-0M020</v>
      </c>
      <c r="B5759" t="str">
        <f>"BUSH-COMP ROD"</f>
        <v>BUSH-COMP ROD</v>
      </c>
      <c r="C5759">
        <v>7</v>
      </c>
      <c r="D5759">
        <v>608.73599999999999</v>
      </c>
    </row>
    <row r="5760" spans="1:4">
      <c r="A5760" t="str">
        <f>"54580-2S40A"</f>
        <v>54580-2S40A</v>
      </c>
      <c r="B5760" t="str">
        <f>"Втулка"</f>
        <v>Втулка</v>
      </c>
      <c r="C5760">
        <v>4</v>
      </c>
      <c r="D5760">
        <v>389.23200000000003</v>
      </c>
    </row>
    <row r="5761" spans="1:4">
      <c r="A5761" t="str">
        <f>"54580-7S000"</f>
        <v>54580-7S000</v>
      </c>
      <c r="B5761" t="str">
        <f>"Болт нижнего рыч"</f>
        <v>Болт нижнего рыч</v>
      </c>
      <c r="C5761">
        <v>0</v>
      </c>
      <c r="D5761">
        <v>184.416</v>
      </c>
    </row>
    <row r="5762" spans="1:4">
      <c r="A5762" t="str">
        <f>"54580-7S00B"</f>
        <v>54580-7S00B</v>
      </c>
      <c r="B5762" t="str">
        <f>"Болт нижнего рыч"</f>
        <v>Болт нижнего рыч</v>
      </c>
      <c r="C5762">
        <v>10</v>
      </c>
      <c r="D5762">
        <v>252.14400000000001</v>
      </c>
    </row>
    <row r="5763" spans="1:4">
      <c r="A5763" t="str">
        <f>"54580-ZC00A"</f>
        <v>54580-ZC00A</v>
      </c>
      <c r="B5763" t="str">
        <f>"Палец рычага подвеск"</f>
        <v>Палец рычага подвеск</v>
      </c>
      <c r="C5763">
        <v>0</v>
      </c>
      <c r="D5763">
        <v>454.10399999999998</v>
      </c>
    </row>
    <row r="5764" spans="1:4">
      <c r="A5764" t="str">
        <f>"54582-VC110"</f>
        <v>54582-VC110</v>
      </c>
      <c r="B5764" t="str">
        <f>"ROD,PANHARD"</f>
        <v>ROD,PANHARD</v>
      </c>
      <c r="C5764">
        <v>23</v>
      </c>
      <c r="D5764">
        <v>7964.16</v>
      </c>
    </row>
    <row r="5765" spans="1:4">
      <c r="A5765" t="str">
        <f>"54588-1BA2A"</f>
        <v>54588-1BA2A</v>
      </c>
      <c r="B5765" t="str">
        <f>"Гайка крепления подв"</f>
        <v>Гайка крепления подв</v>
      </c>
      <c r="C5765">
        <v>3</v>
      </c>
      <c r="D5765">
        <v>51.408000000000001</v>
      </c>
    </row>
    <row r="5766" spans="1:4">
      <c r="A5766" t="str">
        <f>"54588-AD00A"</f>
        <v>54588-AD00A</v>
      </c>
      <c r="B5766" t="str">
        <f>"Гайка крепления подв"</f>
        <v>Гайка крепления подв</v>
      </c>
      <c r="C5766">
        <v>15</v>
      </c>
      <c r="D5766">
        <v>39.984000000000002</v>
      </c>
    </row>
    <row r="5767" spans="1:4">
      <c r="A5767" t="str">
        <f>"54588-ED00A"</f>
        <v>54588-ED00A</v>
      </c>
      <c r="B5767" t="str">
        <f>"Гайка крепления подв"</f>
        <v>Гайка крепления подв</v>
      </c>
      <c r="C5767">
        <v>21</v>
      </c>
      <c r="D5767">
        <v>74.256</v>
      </c>
    </row>
    <row r="5768" spans="1:4">
      <c r="A5768" t="str">
        <f>"54588-JG00A"</f>
        <v>54588-JG00A</v>
      </c>
      <c r="B5768" t="str">
        <f>"Гайка крепления подв"</f>
        <v>Гайка крепления подв</v>
      </c>
      <c r="C5768">
        <v>0</v>
      </c>
      <c r="D5768">
        <v>48.143999999999998</v>
      </c>
    </row>
    <row r="5769" spans="1:4">
      <c r="A5769" t="str">
        <f>"54588-JP00D"</f>
        <v>54588-JP00D</v>
      </c>
      <c r="B5769" t="str">
        <f>"Гайка крепления подв"</f>
        <v>Гайка крепления подв</v>
      </c>
      <c r="C5769">
        <v>20</v>
      </c>
      <c r="D5769">
        <v>57.12</v>
      </c>
    </row>
    <row r="5770" spans="1:4">
      <c r="A5770" t="str">
        <f>"54590-01E00"</f>
        <v>54590-01E00</v>
      </c>
      <c r="B5770" t="str">
        <f>"BUSH LOW ARM"</f>
        <v>BUSH LOW ARM</v>
      </c>
      <c r="C5770">
        <v>15</v>
      </c>
      <c r="D5770">
        <v>375.36</v>
      </c>
    </row>
    <row r="5771" spans="1:4">
      <c r="A5771" t="str">
        <f>"54590-AU000"</f>
        <v>54590-AU000</v>
      </c>
      <c r="B5771" t="str">
        <f>"EXT COMPL,RH"</f>
        <v>EXT COMPL,RH</v>
      </c>
      <c r="C5771">
        <v>10</v>
      </c>
      <c r="D5771">
        <v>3162.4079999999999</v>
      </c>
    </row>
    <row r="5772" spans="1:4">
      <c r="A5772" t="str">
        <f>"54591-AU000"</f>
        <v>54591-AU000</v>
      </c>
      <c r="B5772" t="str">
        <f>"EXT COMPL,LH"</f>
        <v>EXT COMPL,LH</v>
      </c>
      <c r="C5772">
        <v>2</v>
      </c>
      <c r="D5772">
        <v>3153.8399999999997</v>
      </c>
    </row>
    <row r="5773" spans="1:4">
      <c r="A5773" t="str">
        <f>"54592-7J126"</f>
        <v>54592-7J126</v>
      </c>
      <c r="B5773" t="str">
        <f>"РЫЧАГ СРЕДН ПР"</f>
        <v>РЫЧАГ СРЕДН ПР</v>
      </c>
      <c r="C5773">
        <v>3</v>
      </c>
      <c r="D5773">
        <v>4057.9679999999998</v>
      </c>
    </row>
    <row r="5774" spans="1:4">
      <c r="A5774" t="str">
        <f>"54593-7J126"</f>
        <v>54593-7J126</v>
      </c>
      <c r="B5774" t="str">
        <f>"РЫЧАГ СРЕДН ЛЕВ"</f>
        <v>РЫЧАГ СРЕДН ЛЕВ</v>
      </c>
      <c r="C5774">
        <v>10</v>
      </c>
      <c r="D5774">
        <v>4178.7359999999999</v>
      </c>
    </row>
    <row r="5775" spans="1:4">
      <c r="A5775" t="str">
        <f>"54611-CG000"</f>
        <v>54611-CG000</v>
      </c>
      <c r="B5775" t="str">
        <f>"Стабилизатор передни"</f>
        <v>Стабилизатор передни</v>
      </c>
      <c r="C5775">
        <v>2</v>
      </c>
      <c r="D5775">
        <v>7277.4960000000001</v>
      </c>
    </row>
    <row r="5776" spans="1:4">
      <c r="A5776" t="str">
        <f>"54612-01P00"</f>
        <v>54612-01P00</v>
      </c>
      <c r="B5776" t="str">
        <f>"BUSHING RUBBER"</f>
        <v>BUSHING RUBBER</v>
      </c>
      <c r="C5776">
        <v>20</v>
      </c>
      <c r="D5776">
        <v>75.888000000000005</v>
      </c>
    </row>
    <row r="5777" spans="1:4">
      <c r="A5777" t="str">
        <f>"54612-60Y00"</f>
        <v>54612-60Y00</v>
      </c>
      <c r="B5777" t="str">
        <f>"BUSHING-STABI"</f>
        <v>BUSHING-STABI</v>
      </c>
      <c r="C5777">
        <v>10</v>
      </c>
      <c r="D5777">
        <v>161.16</v>
      </c>
    </row>
    <row r="5778" spans="1:4">
      <c r="A5778" t="str">
        <f>"54612-9X201"</f>
        <v>54612-9X201</v>
      </c>
      <c r="B5778" t="str">
        <f>"Втулка стабилизатора"</f>
        <v>Втулка стабилизатора</v>
      </c>
      <c r="C5778">
        <v>1</v>
      </c>
      <c r="D5778">
        <v>196.65599999999998</v>
      </c>
    </row>
    <row r="5779" spans="1:4">
      <c r="A5779" t="str">
        <f>"54613-01J11"</f>
        <v>54613-01J11</v>
      </c>
      <c r="B5779" t="str">
        <f>"BUSHING-STABI"</f>
        <v>BUSHING-STABI</v>
      </c>
      <c r="C5779">
        <v>20</v>
      </c>
      <c r="D5779">
        <v>159.11999999999998</v>
      </c>
    </row>
    <row r="5780" spans="1:4">
      <c r="A5780" t="str">
        <f>"54613-06J10"</f>
        <v>54613-06J10</v>
      </c>
      <c r="B5780" t="str">
        <f>"BUSHING-RUBBER"</f>
        <v>BUSHING-RUBBER</v>
      </c>
      <c r="C5780">
        <v>2</v>
      </c>
      <c r="D5780">
        <v>264.79199999999997</v>
      </c>
    </row>
    <row r="5781" spans="1:4">
      <c r="A5781" t="str">
        <f>"54613-0E015"</f>
        <v>54613-0E015</v>
      </c>
      <c r="B5781" t="str">
        <f>"BUSHING-STABI"</f>
        <v>BUSHING-STABI</v>
      </c>
      <c r="C5781">
        <v>0</v>
      </c>
      <c r="D5781">
        <v>133.00800000000001</v>
      </c>
    </row>
    <row r="5782" spans="1:4">
      <c r="A5782" t="str">
        <f>"54613-0F001"</f>
        <v>54613-0F001</v>
      </c>
      <c r="B5782" t="str">
        <f>"ВТУЛКА"</f>
        <v>ВТУЛКА</v>
      </c>
      <c r="C5782">
        <v>17</v>
      </c>
      <c r="D5782">
        <v>197.47200000000001</v>
      </c>
    </row>
    <row r="5783" spans="1:4">
      <c r="A5783" t="str">
        <f>"54613-0P005"</f>
        <v>54613-0P005</v>
      </c>
      <c r="B5783" t="str">
        <f>"BUSH-STABILIZER"</f>
        <v>BUSH-STABILIZER</v>
      </c>
      <c r="C5783">
        <v>20</v>
      </c>
      <c r="D5783">
        <v>152.59199999999998</v>
      </c>
    </row>
    <row r="5784" spans="1:4">
      <c r="A5784" t="str">
        <f>"54613-0X800"</f>
        <v>54613-0X800</v>
      </c>
      <c r="B5784" t="str">
        <f>"ВТУЛКА"</f>
        <v>ВТУЛКА</v>
      </c>
      <c r="C5784">
        <v>0</v>
      </c>
      <c r="D5784">
        <v>150.55199999999999</v>
      </c>
    </row>
    <row r="5785" spans="1:4">
      <c r="A5785" t="str">
        <f>"54613-18V00"</f>
        <v>54613-18V00</v>
      </c>
      <c r="B5785" t="str">
        <f>"Втулка стабилизатора"</f>
        <v>Втулка стабилизатора</v>
      </c>
      <c r="C5785">
        <v>2</v>
      </c>
      <c r="D5785">
        <v>110.568</v>
      </c>
    </row>
    <row r="5786" spans="1:4">
      <c r="A5786" t="str">
        <f>"54613-1AA0B"</f>
        <v>54613-1AA0B</v>
      </c>
      <c r="B5786" t="str">
        <f>"Втулка стабилизатора"</f>
        <v>Втулка стабилизатора</v>
      </c>
      <c r="C5786">
        <v>52</v>
      </c>
      <c r="D5786">
        <v>164.42400000000001</v>
      </c>
    </row>
    <row r="5787" spans="1:4">
      <c r="A5787" t="str">
        <f>"54613-1BA1A"</f>
        <v>54613-1BA1A</v>
      </c>
      <c r="B5787" t="str">
        <f>"Втулка стабилизатора"</f>
        <v>Втулка стабилизатора</v>
      </c>
      <c r="C5787">
        <v>19</v>
      </c>
      <c r="D5787">
        <v>139.536</v>
      </c>
    </row>
    <row r="5788" spans="1:4">
      <c r="A5788" t="str">
        <f>"54613-1BF0A"</f>
        <v>54613-1BF0A</v>
      </c>
      <c r="B5788" t="str">
        <f>"Втулка стабилизатора"</f>
        <v>Втулка стабилизатора</v>
      </c>
      <c r="C5788">
        <v>22</v>
      </c>
      <c r="D5788">
        <v>181.96799999999999</v>
      </c>
    </row>
    <row r="5789" spans="1:4">
      <c r="A5789" t="str">
        <f>"54613-1C404"</f>
        <v>54613-1C404</v>
      </c>
      <c r="B5789" t="str">
        <f>"BUSHING-STABI"</f>
        <v>BUSHING-STABI</v>
      </c>
      <c r="C5789">
        <v>53</v>
      </c>
      <c r="D5789">
        <v>157.488</v>
      </c>
    </row>
    <row r="5790" spans="1:4">
      <c r="A5790" t="str">
        <f>"54613-1C704"</f>
        <v>54613-1C704</v>
      </c>
      <c r="B5790" t="str">
        <f>"BUSHING-STABI"</f>
        <v>BUSHING-STABI</v>
      </c>
      <c r="C5790">
        <v>38</v>
      </c>
      <c r="D5790">
        <v>157.08000000000001</v>
      </c>
    </row>
    <row r="5791" spans="1:4">
      <c r="A5791" t="str">
        <f>"54613-1CA0A"</f>
        <v>54613-1CA0A</v>
      </c>
      <c r="B5791" t="str">
        <f>"Втулка стабилизатора"</f>
        <v>Втулка стабилизатора</v>
      </c>
      <c r="C5791">
        <v>0</v>
      </c>
      <c r="D5791">
        <v>157.89600000000002</v>
      </c>
    </row>
    <row r="5792" spans="1:4">
      <c r="A5792" t="str">
        <f>"54613-1CA1A"</f>
        <v>54613-1CA1A</v>
      </c>
      <c r="B5792" t="str">
        <f>"Втулка стабилизатора"</f>
        <v>Втулка стабилизатора</v>
      </c>
      <c r="C5792">
        <v>4</v>
      </c>
      <c r="D5792">
        <v>179.928</v>
      </c>
    </row>
    <row r="5793" spans="1:4">
      <c r="A5793" t="str">
        <f>"54613-1GZ0A"</f>
        <v>54613-1GZ0A</v>
      </c>
      <c r="B5793" t="str">
        <f>"Втулка стабилизатора"</f>
        <v>Втулка стабилизатора</v>
      </c>
      <c r="C5793">
        <v>54</v>
      </c>
      <c r="D5793">
        <v>177.88800000000001</v>
      </c>
    </row>
    <row r="5794" spans="1:4">
      <c r="A5794" t="str">
        <f>"54613-1MD1A"</f>
        <v>54613-1MD1A</v>
      </c>
      <c r="B5794" t="str">
        <f>"Втулка стабилизатора"</f>
        <v>Втулка стабилизатора</v>
      </c>
      <c r="C5794">
        <v>1</v>
      </c>
      <c r="D5794">
        <v>162.792</v>
      </c>
    </row>
    <row r="5795" spans="1:4">
      <c r="A5795" t="str">
        <f>"54613-2S6B0"</f>
        <v>54613-2S6B0</v>
      </c>
      <c r="B5795" t="str">
        <f>"Втулка стабилизатора"</f>
        <v>Втулка стабилизатора</v>
      </c>
      <c r="C5795">
        <v>0</v>
      </c>
      <c r="D5795">
        <v>138.72</v>
      </c>
    </row>
    <row r="5796" spans="1:4">
      <c r="A5796" t="str">
        <f>"54613-2U000"</f>
        <v>54613-2U000</v>
      </c>
      <c r="B5796" t="str">
        <f>"BUSHING-STABI"</f>
        <v>BUSHING-STABI</v>
      </c>
      <c r="C5796">
        <v>23</v>
      </c>
      <c r="D5796">
        <v>153</v>
      </c>
    </row>
    <row r="5797" spans="1:4">
      <c r="A5797" t="str">
        <f>"54613-2Y002"</f>
        <v>54613-2Y002</v>
      </c>
      <c r="B5797" t="str">
        <f>"BUSHING-STABI"</f>
        <v>BUSHING-STABI</v>
      </c>
      <c r="C5797">
        <v>20</v>
      </c>
      <c r="D5797">
        <v>155.44799999999998</v>
      </c>
    </row>
    <row r="5798" spans="1:4">
      <c r="A5798" t="str">
        <f>"54613-2Y003"</f>
        <v>54613-2Y003</v>
      </c>
      <c r="B5798" t="str">
        <f>"BUSHING-STABI"</f>
        <v>BUSHING-STABI</v>
      </c>
      <c r="C5798">
        <v>0</v>
      </c>
      <c r="D5798">
        <v>150.95999999999998</v>
      </c>
    </row>
    <row r="5799" spans="1:4">
      <c r="A5799" t="str">
        <f>"54613-32G00"</f>
        <v>54613-32G00</v>
      </c>
      <c r="B5799" t="str">
        <f>"BUSHING-STABI"</f>
        <v>BUSHING-STABI</v>
      </c>
      <c r="C5799">
        <v>12</v>
      </c>
      <c r="D5799">
        <v>134.63999999999999</v>
      </c>
    </row>
    <row r="5800" spans="1:4">
      <c r="A5800" t="str">
        <f>"54613-3U800"</f>
        <v>54613-3U800</v>
      </c>
      <c r="B5800" t="str">
        <f>"BUSHING-STABI"</f>
        <v>BUSHING-STABI</v>
      </c>
      <c r="C5800">
        <v>110</v>
      </c>
      <c r="D5800">
        <v>175.03200000000001</v>
      </c>
    </row>
    <row r="5801" spans="1:4">
      <c r="A5801" t="str">
        <f>"54613-41G00"</f>
        <v>54613-41G00</v>
      </c>
      <c r="B5801" t="str">
        <f>"BUSH-STABILIZER"</f>
        <v>BUSH-STABILIZER</v>
      </c>
      <c r="C5801">
        <v>8</v>
      </c>
      <c r="D5801">
        <v>141.16800000000001</v>
      </c>
    </row>
    <row r="5802" spans="1:4">
      <c r="A5802" t="str">
        <f>"54613-4F100"</f>
        <v>54613-4F100</v>
      </c>
      <c r="B5802" t="str">
        <f>"BUSH-STABILIZER"</f>
        <v>BUSH-STABILIZER</v>
      </c>
      <c r="C5802">
        <v>4</v>
      </c>
      <c r="D5802">
        <v>169.72799999999998</v>
      </c>
    </row>
    <row r="5803" spans="1:4">
      <c r="A5803" t="str">
        <f>"54613-4M420"</f>
        <v>54613-4M420</v>
      </c>
      <c r="B5803" t="str">
        <f>"BUSHING-STABI"</f>
        <v>BUSHING-STABI</v>
      </c>
      <c r="C5803">
        <v>33</v>
      </c>
      <c r="D5803">
        <v>150.95999999999998</v>
      </c>
    </row>
    <row r="5804" spans="1:4">
      <c r="A5804" t="str">
        <f>"54613-4M718"</f>
        <v>54613-4M718</v>
      </c>
      <c r="B5804" t="str">
        <f>"Втулка стабилизатора"</f>
        <v>Втулка стабилизатора</v>
      </c>
      <c r="C5804">
        <v>12</v>
      </c>
      <c r="D5804">
        <v>169.32</v>
      </c>
    </row>
    <row r="5805" spans="1:4">
      <c r="A5805" t="str">
        <f>"54613-4M720"</f>
        <v>54613-4M720</v>
      </c>
      <c r="B5805" t="str">
        <f>"BUSHING-STABI"</f>
        <v>BUSHING-STABI</v>
      </c>
      <c r="C5805">
        <v>6</v>
      </c>
      <c r="D5805">
        <v>156.26399999999998</v>
      </c>
    </row>
    <row r="5806" spans="1:4">
      <c r="A5806" t="str">
        <f>"54613-4M722"</f>
        <v>54613-4M722</v>
      </c>
      <c r="B5806" t="str">
        <f>"BUSHING-STABI"</f>
        <v>BUSHING-STABI</v>
      </c>
      <c r="C5806">
        <v>28</v>
      </c>
      <c r="D5806">
        <v>147.28799999999998</v>
      </c>
    </row>
    <row r="5807" spans="1:4">
      <c r="A5807" t="str">
        <f>"54613-4N010"</f>
        <v>54613-4N010</v>
      </c>
      <c r="B5807" t="str">
        <f>"BUSHING-STABI"</f>
        <v>BUSHING-STABI</v>
      </c>
      <c r="C5807">
        <v>52</v>
      </c>
      <c r="D5807">
        <v>152.59199999999998</v>
      </c>
    </row>
    <row r="5808" spans="1:4">
      <c r="A5808" t="str">
        <f>"54613-4N017"</f>
        <v>54613-4N017</v>
      </c>
      <c r="B5808" t="str">
        <f>"Втулка стабилизатора"</f>
        <v>Втулка стабилизатора</v>
      </c>
      <c r="C5808">
        <v>44</v>
      </c>
      <c r="D5808">
        <v>188.08799999999999</v>
      </c>
    </row>
    <row r="5809" spans="1:4">
      <c r="A5809" t="str">
        <f>"54613-4P007"</f>
        <v>54613-4P007</v>
      </c>
      <c r="B5809" t="str">
        <f>"BUSHING-STABI"</f>
        <v>BUSHING-STABI</v>
      </c>
      <c r="C5809">
        <v>50</v>
      </c>
      <c r="D5809">
        <v>153.816</v>
      </c>
    </row>
    <row r="5810" spans="1:4">
      <c r="A5810" t="str">
        <f>"54613-4U006"</f>
        <v>54613-4U006</v>
      </c>
      <c r="B5810" t="str">
        <f>"BUSHING-STABI"</f>
        <v>BUSHING-STABI</v>
      </c>
      <c r="C5810">
        <v>74</v>
      </c>
      <c r="D5810">
        <v>166.464</v>
      </c>
    </row>
    <row r="5811" spans="1:4">
      <c r="A5811" t="str">
        <f>"54613-4U010"</f>
        <v>54613-4U010</v>
      </c>
      <c r="B5811" t="str">
        <f>"Втулка стабилизатора"</f>
        <v>Втулка стабилизатора</v>
      </c>
      <c r="C5811">
        <v>13</v>
      </c>
      <c r="D5811">
        <v>152.184</v>
      </c>
    </row>
    <row r="5812" spans="1:4">
      <c r="A5812" t="str">
        <f>"54613-5V002"</f>
        <v>54613-5V002</v>
      </c>
      <c r="B5812" t="str">
        <f>"Втулка стабилизатора"</f>
        <v>Втулка стабилизатора</v>
      </c>
      <c r="C5812">
        <v>46</v>
      </c>
      <c r="D5812">
        <v>146.88</v>
      </c>
    </row>
    <row r="5813" spans="1:4">
      <c r="A5813" t="str">
        <f>"54613-5V005"</f>
        <v>54613-5V005</v>
      </c>
      <c r="B5813" t="str">
        <f>"BUSHING-STABI"</f>
        <v>BUSHING-STABI</v>
      </c>
      <c r="C5813">
        <v>14</v>
      </c>
      <c r="D5813">
        <v>221.136</v>
      </c>
    </row>
    <row r="5814" spans="1:4">
      <c r="A5814" t="str">
        <f>"54613-6P610"</f>
        <v>54613-6P610</v>
      </c>
      <c r="B5814" t="str">
        <f>"Втулка стабилизатора"</f>
        <v>Втулка стабилизатора</v>
      </c>
      <c r="C5814">
        <v>63</v>
      </c>
      <c r="D5814">
        <v>153.40799999999999</v>
      </c>
    </row>
    <row r="5815" spans="1:4">
      <c r="A5815" t="str">
        <f>"54613-7F001"</f>
        <v>54613-7F001</v>
      </c>
      <c r="B5815" t="str">
        <f>"BUSH-REAR STABI"</f>
        <v>BUSH-REAR STABI</v>
      </c>
      <c r="C5815">
        <v>37</v>
      </c>
      <c r="D5815">
        <v>232.96799999999996</v>
      </c>
    </row>
    <row r="5816" spans="1:4">
      <c r="A5816" t="str">
        <f>"54613-7S016"</f>
        <v>54613-7S016</v>
      </c>
      <c r="B5816" t="str">
        <f>"BUSH-REAR STABI"</f>
        <v>BUSH-REAR STABI</v>
      </c>
      <c r="C5816">
        <v>74</v>
      </c>
      <c r="D5816">
        <v>135.45599999999999</v>
      </c>
    </row>
    <row r="5817" spans="1:4">
      <c r="A5817" t="str">
        <f>"54613-7Y011"</f>
        <v>54613-7Y011</v>
      </c>
      <c r="B5817" t="str">
        <f>"BUSH-STABILIZER"</f>
        <v>BUSH-STABILIZER</v>
      </c>
      <c r="C5817">
        <v>6</v>
      </c>
      <c r="D5817">
        <v>112.608</v>
      </c>
    </row>
    <row r="5818" spans="1:4">
      <c r="A5818" t="str">
        <f>"54613-7Z110"</f>
        <v>54613-7Z110</v>
      </c>
      <c r="B5818" t="str">
        <f>"Втулка стабилизатора"</f>
        <v>Втулка стабилизатора</v>
      </c>
      <c r="C5818">
        <v>0</v>
      </c>
      <c r="D5818">
        <v>61.608000000000004</v>
      </c>
    </row>
    <row r="5819" spans="1:4">
      <c r="A5819" t="str">
        <f>"54613-88G00"</f>
        <v>54613-88G00</v>
      </c>
      <c r="B5819" t="str">
        <f>"BUSHING-STABI"</f>
        <v>BUSHING-STABI</v>
      </c>
      <c r="C5819">
        <v>1</v>
      </c>
      <c r="D5819">
        <v>174.624</v>
      </c>
    </row>
    <row r="5820" spans="1:4">
      <c r="A5820" t="str">
        <f>"54613-8H315"</f>
        <v>54613-8H315</v>
      </c>
      <c r="B5820" t="str">
        <f>"BUSHING-STABI"</f>
        <v>BUSHING-STABI</v>
      </c>
      <c r="C5820">
        <v>57</v>
      </c>
      <c r="D5820">
        <v>150.95999999999998</v>
      </c>
    </row>
    <row r="5821" spans="1:4">
      <c r="A5821" t="str">
        <f>"54613-8H318"</f>
        <v>54613-8H318</v>
      </c>
      <c r="B5821" t="str">
        <f>"BUSHING-STABI"</f>
        <v>BUSHING-STABI</v>
      </c>
      <c r="C5821">
        <v>46</v>
      </c>
      <c r="D5821">
        <v>154.63200000000001</v>
      </c>
    </row>
    <row r="5822" spans="1:4">
      <c r="A5822" t="str">
        <f>"54613-8H518"</f>
        <v>54613-8H518</v>
      </c>
      <c r="B5822" t="str">
        <f>"BUSH-STABILIZER"</f>
        <v>BUSH-STABILIZER</v>
      </c>
      <c r="C5822">
        <v>152</v>
      </c>
      <c r="D5822">
        <v>173.4</v>
      </c>
    </row>
    <row r="5823" spans="1:4">
      <c r="A5823" t="str">
        <f>"54613-8J002"</f>
        <v>54613-8J002</v>
      </c>
      <c r="B5823" t="str">
        <f>"BUSH-STABILIZER"</f>
        <v>BUSH-STABILIZER</v>
      </c>
      <c r="C5823">
        <v>20</v>
      </c>
      <c r="D5823">
        <v>106.896</v>
      </c>
    </row>
    <row r="5824" spans="1:4">
      <c r="A5824" t="str">
        <f>"54613-9U000"</f>
        <v>54613-9U000</v>
      </c>
      <c r="B5824" t="str">
        <f t="shared" ref="B5824:B5829" si="108">"Втулка стабилизатора"</f>
        <v>Втулка стабилизатора</v>
      </c>
      <c r="C5824">
        <v>0</v>
      </c>
      <c r="D5824">
        <v>190.12799999999999</v>
      </c>
    </row>
    <row r="5825" spans="1:4">
      <c r="A5825" t="str">
        <f>"54613-9U00A"</f>
        <v>54613-9U00A</v>
      </c>
      <c r="B5825" t="str">
        <f t="shared" si="108"/>
        <v>Втулка стабилизатора</v>
      </c>
      <c r="C5825">
        <v>3</v>
      </c>
      <c r="D5825">
        <v>170.952</v>
      </c>
    </row>
    <row r="5826" spans="1:4">
      <c r="A5826" t="str">
        <f>"54613-9X502"</f>
        <v>54613-9X502</v>
      </c>
      <c r="B5826" t="str">
        <f t="shared" si="108"/>
        <v>Втулка стабилизатора</v>
      </c>
      <c r="C5826">
        <v>0</v>
      </c>
      <c r="D5826">
        <v>166.87199999999999</v>
      </c>
    </row>
    <row r="5827" spans="1:4">
      <c r="A5827" t="str">
        <f>"54613-9Y002"</f>
        <v>54613-9Y002</v>
      </c>
      <c r="B5827" t="str">
        <f t="shared" si="108"/>
        <v>Втулка стабилизатора</v>
      </c>
      <c r="C5827">
        <v>10</v>
      </c>
      <c r="D5827">
        <v>168.096</v>
      </c>
    </row>
    <row r="5828" spans="1:4">
      <c r="A5828" t="str">
        <f>"54613-9Y016"</f>
        <v>54613-9Y016</v>
      </c>
      <c r="B5828" t="str">
        <f t="shared" si="108"/>
        <v>Втулка стабилизатора</v>
      </c>
      <c r="C5828">
        <v>113</v>
      </c>
      <c r="D5828">
        <v>179.11199999999999</v>
      </c>
    </row>
    <row r="5829" spans="1:4">
      <c r="A5829" t="str">
        <f>"54613-AG112"</f>
        <v>54613-AG112</v>
      </c>
      <c r="B5829" t="str">
        <f t="shared" si="108"/>
        <v>Втулка стабилизатора</v>
      </c>
      <c r="C5829">
        <v>14</v>
      </c>
      <c r="D5829">
        <v>124.032</v>
      </c>
    </row>
    <row r="5830" spans="1:4">
      <c r="A5830" t="str">
        <f>"54613-AL524"</f>
        <v>54613-AL524</v>
      </c>
      <c r="B5830" t="str">
        <f>"BUSHING-STABI"</f>
        <v>BUSHING-STABI</v>
      </c>
      <c r="C5830">
        <v>26</v>
      </c>
      <c r="D5830">
        <v>161.56799999999998</v>
      </c>
    </row>
    <row r="5831" spans="1:4">
      <c r="A5831" t="str">
        <f>"54613-AQ021"</f>
        <v>54613-AQ021</v>
      </c>
      <c r="B5831" t="str">
        <f>"BUSH-STABILIZER"</f>
        <v>BUSH-STABILIZER</v>
      </c>
      <c r="C5831">
        <v>58</v>
      </c>
      <c r="D5831">
        <v>176.256</v>
      </c>
    </row>
    <row r="5832" spans="1:4">
      <c r="A5832" t="str">
        <f>"54613-AR016"</f>
        <v>54613-AR016</v>
      </c>
      <c r="B5832" t="str">
        <f>"BUSHING-STABI"</f>
        <v>BUSHING-STABI</v>
      </c>
      <c r="C5832">
        <v>3</v>
      </c>
      <c r="D5832">
        <v>164.01599999999999</v>
      </c>
    </row>
    <row r="5833" spans="1:4">
      <c r="A5833" t="str">
        <f>"54613-AU005"</f>
        <v>54613-AU005</v>
      </c>
      <c r="B5833" t="str">
        <f>"BUSHING-STABI"</f>
        <v>BUSHING-STABI</v>
      </c>
      <c r="C5833">
        <v>18</v>
      </c>
      <c r="D5833">
        <v>178.29600000000002</v>
      </c>
    </row>
    <row r="5834" spans="1:4">
      <c r="A5834" t="str">
        <f>"54613-AU102"</f>
        <v>54613-AU102</v>
      </c>
      <c r="B5834" t="str">
        <f>"BUSH-STABILIZER"</f>
        <v>BUSH-STABILIZER</v>
      </c>
      <c r="C5834">
        <v>302</v>
      </c>
      <c r="D5834">
        <v>187.68</v>
      </c>
    </row>
    <row r="5835" spans="1:4">
      <c r="A5835" t="str">
        <f>"54613-AV620"</f>
        <v>54613-AV620</v>
      </c>
      <c r="B5835" t="str">
        <f>"BUSH-STABILIZER"</f>
        <v>BUSH-STABILIZER</v>
      </c>
      <c r="C5835">
        <v>83</v>
      </c>
      <c r="D5835">
        <v>196.65599999999998</v>
      </c>
    </row>
    <row r="5836" spans="1:4">
      <c r="A5836" t="str">
        <f>"54613-AX602"</f>
        <v>54613-AX602</v>
      </c>
      <c r="B5836" t="str">
        <f>"BUSH-STABILIZER"</f>
        <v>BUSH-STABILIZER</v>
      </c>
      <c r="C5836">
        <v>20</v>
      </c>
      <c r="D5836">
        <v>161.16</v>
      </c>
    </row>
    <row r="5837" spans="1:4">
      <c r="A5837" t="str">
        <f>"54613-CA000"</f>
        <v>54613-CA000</v>
      </c>
      <c r="B5837" t="str">
        <f>"BUSH-STABILIZER"</f>
        <v>BUSH-STABILIZER</v>
      </c>
      <c r="C5837">
        <v>42</v>
      </c>
      <c r="D5837">
        <v>180.744</v>
      </c>
    </row>
    <row r="5838" spans="1:4">
      <c r="A5838" t="str">
        <f>"54613-CA00A"</f>
        <v>54613-CA00A</v>
      </c>
      <c r="B5838" t="str">
        <f>"Втулка стабилизатора"</f>
        <v>Втулка стабилизатора</v>
      </c>
      <c r="C5838">
        <v>5</v>
      </c>
      <c r="D5838">
        <v>115.056</v>
      </c>
    </row>
    <row r="5839" spans="1:4">
      <c r="A5839" t="str">
        <f>"54613-CC48A"</f>
        <v>54613-CC48A</v>
      </c>
      <c r="B5839" t="str">
        <f>"Втулка стабилизатора"</f>
        <v>Втулка стабилизатора</v>
      </c>
      <c r="C5839">
        <v>147</v>
      </c>
      <c r="D5839">
        <v>178.29600000000002</v>
      </c>
    </row>
    <row r="5840" spans="1:4">
      <c r="A5840" t="str">
        <f>"54613-CG006"</f>
        <v>54613-CG006</v>
      </c>
      <c r="B5840" t="str">
        <f>"BUSHING-STABI"</f>
        <v>BUSHING-STABI</v>
      </c>
      <c r="C5840">
        <v>0</v>
      </c>
      <c r="D5840">
        <v>164.01599999999999</v>
      </c>
    </row>
    <row r="5841" spans="1:4">
      <c r="A5841" t="str">
        <f>"54613-CG024"</f>
        <v>54613-CG024</v>
      </c>
      <c r="B5841" t="str">
        <f>"BUSH-STABILIZER"</f>
        <v>BUSH-STABILIZER</v>
      </c>
      <c r="C5841">
        <v>96</v>
      </c>
      <c r="D5841">
        <v>167.28</v>
      </c>
    </row>
    <row r="5842" spans="1:4">
      <c r="A5842" t="str">
        <f>"54613-CK003"</f>
        <v>54613-CK003</v>
      </c>
      <c r="B5842" t="str">
        <f t="shared" ref="B5842:B5860" si="109">"Втулка стабилизатора"</f>
        <v>Втулка стабилизатора</v>
      </c>
      <c r="C5842">
        <v>18</v>
      </c>
      <c r="D5842">
        <v>124.848</v>
      </c>
    </row>
    <row r="5843" spans="1:4">
      <c r="A5843" t="str">
        <f>"54613-CK010"</f>
        <v>54613-CK010</v>
      </c>
      <c r="B5843" t="str">
        <f t="shared" si="109"/>
        <v>Втулка стабилизатора</v>
      </c>
      <c r="C5843">
        <v>25</v>
      </c>
      <c r="D5843">
        <v>147.696</v>
      </c>
    </row>
    <row r="5844" spans="1:4">
      <c r="A5844" t="str">
        <f>"54613-EA520"</f>
        <v>54613-EA520</v>
      </c>
      <c r="B5844" t="str">
        <f t="shared" si="109"/>
        <v>Втулка стабилизатора</v>
      </c>
      <c r="C5844">
        <v>22</v>
      </c>
      <c r="D5844">
        <v>155.04</v>
      </c>
    </row>
    <row r="5845" spans="1:4">
      <c r="A5845" t="str">
        <f>"54613-ED001"</f>
        <v>54613-ED001</v>
      </c>
      <c r="B5845" t="str">
        <f t="shared" si="109"/>
        <v>Втулка стабилизатора</v>
      </c>
      <c r="C5845">
        <v>0</v>
      </c>
      <c r="D5845">
        <v>159.52799999999999</v>
      </c>
    </row>
    <row r="5846" spans="1:4">
      <c r="A5846" t="str">
        <f>"54613-EG020"</f>
        <v>54613-EG020</v>
      </c>
      <c r="B5846" t="str">
        <f t="shared" si="109"/>
        <v>Втулка стабилизатора</v>
      </c>
      <c r="C5846">
        <v>37</v>
      </c>
      <c r="D5846">
        <v>177.072</v>
      </c>
    </row>
    <row r="5847" spans="1:4">
      <c r="A5847" t="str">
        <f>"54613-EG12A"</f>
        <v>54613-EG12A</v>
      </c>
      <c r="B5847" t="str">
        <f t="shared" si="109"/>
        <v>Втулка стабилизатора</v>
      </c>
      <c r="C5847">
        <v>18</v>
      </c>
      <c r="D5847">
        <v>195.83999999999997</v>
      </c>
    </row>
    <row r="5848" spans="1:4">
      <c r="A5848" t="str">
        <f>"54613-EG12B"</f>
        <v>54613-EG12B</v>
      </c>
      <c r="B5848" t="str">
        <f t="shared" si="109"/>
        <v>Втулка стабилизатора</v>
      </c>
      <c r="C5848">
        <v>14</v>
      </c>
      <c r="D5848">
        <v>164.83200000000002</v>
      </c>
    </row>
    <row r="5849" spans="1:4">
      <c r="A5849" t="str">
        <f>"54613-EG32A"</f>
        <v>54613-EG32A</v>
      </c>
      <c r="B5849" t="str">
        <f t="shared" si="109"/>
        <v>Втулка стабилизатора</v>
      </c>
      <c r="C5849">
        <v>26</v>
      </c>
      <c r="D5849">
        <v>155.04</v>
      </c>
    </row>
    <row r="5850" spans="1:4">
      <c r="A5850" t="str">
        <f>"54613-EL000"</f>
        <v>54613-EL000</v>
      </c>
      <c r="B5850" t="str">
        <f t="shared" si="109"/>
        <v>Втулка стабилизатора</v>
      </c>
      <c r="C5850">
        <v>0</v>
      </c>
      <c r="D5850">
        <v>139.12799999999999</v>
      </c>
    </row>
    <row r="5851" spans="1:4">
      <c r="A5851" t="str">
        <f>"54613-JD04A"</f>
        <v>54613-JD04A</v>
      </c>
      <c r="B5851" t="str">
        <f t="shared" si="109"/>
        <v>Втулка стабилизатора</v>
      </c>
      <c r="C5851">
        <v>10</v>
      </c>
      <c r="D5851">
        <v>185.64</v>
      </c>
    </row>
    <row r="5852" spans="1:4">
      <c r="A5852" t="str">
        <f>"54613-JD18C"</f>
        <v>54613-JD18C</v>
      </c>
      <c r="B5852" t="str">
        <f t="shared" si="109"/>
        <v>Втулка стабилизатора</v>
      </c>
      <c r="C5852">
        <v>42</v>
      </c>
      <c r="D5852">
        <v>191.76000000000002</v>
      </c>
    </row>
    <row r="5853" spans="1:4">
      <c r="A5853" t="str">
        <f>"54613-JG02A"</f>
        <v>54613-JG02A</v>
      </c>
      <c r="B5853" t="str">
        <f t="shared" si="109"/>
        <v>Втулка стабилизатора</v>
      </c>
      <c r="C5853">
        <v>75</v>
      </c>
      <c r="D5853">
        <v>167.28</v>
      </c>
    </row>
    <row r="5854" spans="1:4">
      <c r="A5854" t="str">
        <f>"54613-JG03A"</f>
        <v>54613-JG03A</v>
      </c>
      <c r="B5854" t="str">
        <f t="shared" si="109"/>
        <v>Втулка стабилизатора</v>
      </c>
      <c r="C5854">
        <v>52</v>
      </c>
      <c r="D5854">
        <v>112.2</v>
      </c>
    </row>
    <row r="5855" spans="1:4">
      <c r="A5855" t="str">
        <f>"54613-JG15C"</f>
        <v>54613-JG15C</v>
      </c>
      <c r="B5855" t="str">
        <f t="shared" si="109"/>
        <v>Втулка стабилизатора</v>
      </c>
      <c r="C5855">
        <v>312</v>
      </c>
      <c r="D5855">
        <v>189.31199999999998</v>
      </c>
    </row>
    <row r="5856" spans="1:4">
      <c r="A5856" t="str">
        <f>"54613-JG17C"</f>
        <v>54613-JG17C</v>
      </c>
      <c r="B5856" t="str">
        <f t="shared" si="109"/>
        <v>Втулка стабилизатора</v>
      </c>
      <c r="C5856">
        <v>225</v>
      </c>
      <c r="D5856">
        <v>189.31199999999998</v>
      </c>
    </row>
    <row r="5857" spans="1:4">
      <c r="A5857" t="str">
        <f>"54613-JK000"</f>
        <v>54613-JK000</v>
      </c>
      <c r="B5857" t="str">
        <f t="shared" si="109"/>
        <v>Втулка стабилизатора</v>
      </c>
      <c r="C5857">
        <v>172</v>
      </c>
      <c r="D5857">
        <v>180.744</v>
      </c>
    </row>
    <row r="5858" spans="1:4">
      <c r="A5858" t="str">
        <f>"54613-JK05B"</f>
        <v>54613-JK05B</v>
      </c>
      <c r="B5858" t="str">
        <f t="shared" si="109"/>
        <v>Втулка стабилизатора</v>
      </c>
      <c r="C5858">
        <v>0</v>
      </c>
      <c r="D5858">
        <v>172.17599999999999</v>
      </c>
    </row>
    <row r="5859" spans="1:4">
      <c r="A5859" t="str">
        <f>"54613-JK50B"</f>
        <v>54613-JK50B</v>
      </c>
      <c r="B5859" t="str">
        <f t="shared" si="109"/>
        <v>Втулка стабилизатора</v>
      </c>
      <c r="C5859">
        <v>11</v>
      </c>
      <c r="D5859">
        <v>170.54400000000001</v>
      </c>
    </row>
    <row r="5860" spans="1:4">
      <c r="A5860" t="str">
        <f>"54613-JN20A"</f>
        <v>54613-JN20A</v>
      </c>
      <c r="B5860" t="str">
        <f t="shared" si="109"/>
        <v>Втулка стабилизатора</v>
      </c>
      <c r="C5860">
        <v>261</v>
      </c>
      <c r="D5860">
        <v>166.05599999999998</v>
      </c>
    </row>
    <row r="5861" spans="1:4">
      <c r="A5861" t="str">
        <f>"54613-VB002"</f>
        <v>54613-VB002</v>
      </c>
      <c r="B5861" t="str">
        <f>"BUSHING-STABI"</f>
        <v>BUSHING-STABI</v>
      </c>
      <c r="C5861">
        <v>45</v>
      </c>
      <c r="D5861">
        <v>169.72799999999998</v>
      </c>
    </row>
    <row r="5862" spans="1:4">
      <c r="A5862" t="str">
        <f>"54613-VB010"</f>
        <v>54613-VB010</v>
      </c>
      <c r="B5862" t="str">
        <f>"BUSH-STABILIZER"</f>
        <v>BUSH-STABILIZER</v>
      </c>
      <c r="C5862">
        <v>51</v>
      </c>
      <c r="D5862">
        <v>191.76000000000002</v>
      </c>
    </row>
    <row r="5863" spans="1:4">
      <c r="A5863" t="str">
        <f>"54613-VC223"</f>
        <v>54613-VC223</v>
      </c>
      <c r="B5863" t="str">
        <f>"BUSHING-STABI"</f>
        <v>BUSHING-STABI</v>
      </c>
      <c r="C5863">
        <v>154</v>
      </c>
      <c r="D5863">
        <v>157.488</v>
      </c>
    </row>
    <row r="5864" spans="1:4">
      <c r="A5864" t="str">
        <f>"54613-WF921"</f>
        <v>54613-WF921</v>
      </c>
      <c r="B5864" t="str">
        <f>"Втулка стабилизатора"</f>
        <v>Втулка стабилизатора</v>
      </c>
      <c r="C5864">
        <v>1</v>
      </c>
      <c r="D5864">
        <v>152.184</v>
      </c>
    </row>
    <row r="5865" spans="1:4">
      <c r="A5865" t="str">
        <f>"54613-ZL10A"</f>
        <v>54613-ZL10A</v>
      </c>
      <c r="B5865" t="str">
        <f>"Втулка стабилизатора"</f>
        <v>Втулка стабилизатора</v>
      </c>
      <c r="C5865">
        <v>19</v>
      </c>
      <c r="D5865">
        <v>107.712</v>
      </c>
    </row>
    <row r="5866" spans="1:4">
      <c r="A5866" t="str">
        <f>"54613-ZT00A"</f>
        <v>54613-ZT00A</v>
      </c>
      <c r="B5866" t="str">
        <f>"Втулка стабилизатора"</f>
        <v>Втулка стабилизатора</v>
      </c>
      <c r="C5866">
        <v>2</v>
      </c>
      <c r="D5866">
        <v>107.712</v>
      </c>
    </row>
    <row r="5867" spans="1:4">
      <c r="A5867" t="str">
        <f>"54613-ZV50A"</f>
        <v>54613-ZV50A</v>
      </c>
      <c r="B5867" t="str">
        <f>"Втулка стабилизатора"</f>
        <v>Втулка стабилизатора</v>
      </c>
      <c r="C5867">
        <v>20</v>
      </c>
      <c r="D5867">
        <v>56.711999999999996</v>
      </c>
    </row>
    <row r="5868" spans="1:4">
      <c r="A5868" t="str">
        <f>"54614-AU010"</f>
        <v>54614-AU010</v>
      </c>
      <c r="B5868" t="str">
        <f>"Хомут стабилизат"</f>
        <v>Хомут стабилизат</v>
      </c>
      <c r="C5868">
        <v>1</v>
      </c>
      <c r="D5868">
        <v>235.82400000000001</v>
      </c>
    </row>
    <row r="5869" spans="1:4">
      <c r="A5869" t="str">
        <f>"54617-CG000"</f>
        <v>54617-CG000</v>
      </c>
      <c r="B5869" t="str">
        <f>"ROD-STABILIZER"</f>
        <v>ROD-STABILIZER</v>
      </c>
      <c r="C5869">
        <v>76</v>
      </c>
      <c r="D5869">
        <v>574.46400000000006</v>
      </c>
    </row>
    <row r="5870" spans="1:4">
      <c r="A5870" t="str">
        <f>"54618-02E0A"</f>
        <v>54618-02E0A</v>
      </c>
      <c r="B5870" t="str">
        <f>"Стойка стабилизатора"</f>
        <v>Стойка стабилизатора</v>
      </c>
      <c r="C5870">
        <v>32</v>
      </c>
      <c r="D5870">
        <v>578.54399999999998</v>
      </c>
    </row>
    <row r="5871" spans="1:4">
      <c r="A5871" t="str">
        <f>"54618-0C011"</f>
        <v>54618-0C011</v>
      </c>
      <c r="B5871" t="str">
        <f>"ROD-STABILIZER"</f>
        <v>ROD-STABILIZER</v>
      </c>
      <c r="C5871">
        <v>0</v>
      </c>
      <c r="D5871">
        <v>689.928</v>
      </c>
    </row>
    <row r="5872" spans="1:4">
      <c r="A5872" t="str">
        <f>"54618-0E000"</f>
        <v>54618-0E000</v>
      </c>
      <c r="B5872" t="str">
        <f>"ROD-STABILIZER"</f>
        <v>ROD-STABILIZER</v>
      </c>
      <c r="C5872">
        <v>15</v>
      </c>
      <c r="D5872">
        <v>467.15999999999997</v>
      </c>
    </row>
    <row r="5873" spans="1:4">
      <c r="A5873" t="str">
        <f>"54618-1AA0E"</f>
        <v>54618-1AA0E</v>
      </c>
      <c r="B5873" t="str">
        <f>"Стойка стабилизатора"</f>
        <v>Стойка стабилизатора</v>
      </c>
      <c r="C5873">
        <v>22</v>
      </c>
      <c r="D5873">
        <v>604.24800000000005</v>
      </c>
    </row>
    <row r="5874" spans="1:4">
      <c r="A5874" t="str">
        <f>"54618-1C101"</f>
        <v>54618-1C101</v>
      </c>
      <c r="B5874" t="str">
        <f>"ROD-STABILIZER"</f>
        <v>ROD-STABILIZER</v>
      </c>
      <c r="C5874">
        <v>13</v>
      </c>
      <c r="D5874">
        <v>656.88</v>
      </c>
    </row>
    <row r="5875" spans="1:4">
      <c r="A5875" t="str">
        <f>"54618-1CA2A"</f>
        <v>54618-1CA2A</v>
      </c>
      <c r="B5875" t="str">
        <f>"Стойка стабилизатора"</f>
        <v>Стойка стабилизатора</v>
      </c>
      <c r="C5875">
        <v>3</v>
      </c>
      <c r="D5875">
        <v>671.56799999999998</v>
      </c>
    </row>
    <row r="5876" spans="1:4">
      <c r="A5876" t="str">
        <f>"54618-1CA2B"</f>
        <v>54618-1CA2B</v>
      </c>
      <c r="B5876" t="str">
        <f>"Стойка стабилизатора"</f>
        <v>Стойка стабилизатора</v>
      </c>
      <c r="C5876">
        <v>9</v>
      </c>
      <c r="D5876">
        <v>802.12800000000004</v>
      </c>
    </row>
    <row r="5877" spans="1:4">
      <c r="A5877" t="str">
        <f>"54618-1CA3A"</f>
        <v>54618-1CA3A</v>
      </c>
      <c r="B5877" t="str">
        <f>"Стойка стабилизатора"</f>
        <v>Стойка стабилизатора</v>
      </c>
      <c r="C5877">
        <v>0</v>
      </c>
      <c r="D5877">
        <v>671.56799999999998</v>
      </c>
    </row>
    <row r="5878" spans="1:4">
      <c r="A5878" t="str">
        <f>"54618-1CA3B"</f>
        <v>54618-1CA3B</v>
      </c>
      <c r="B5878" t="str">
        <f>"нет детальки"</f>
        <v>нет детальки</v>
      </c>
      <c r="C5878">
        <v>0</v>
      </c>
      <c r="D5878">
        <v>802.12800000000004</v>
      </c>
    </row>
    <row r="5879" spans="1:4">
      <c r="A5879" t="str">
        <f>"54618-2F010"</f>
        <v>54618-2F010</v>
      </c>
      <c r="B5879" t="str">
        <f>"ROD ASSY-CONNEC"</f>
        <v>ROD ASSY-CONNEC</v>
      </c>
      <c r="C5879">
        <v>0</v>
      </c>
      <c r="D5879">
        <v>425.13599999999997</v>
      </c>
    </row>
    <row r="5880" spans="1:4">
      <c r="A5880" t="str">
        <f>"54618-2Y00A"</f>
        <v>54618-2Y00A</v>
      </c>
      <c r="B5880" t="str">
        <f>"ROD-CONNECTING,"</f>
        <v>ROD-CONNECTING,</v>
      </c>
      <c r="C5880">
        <v>42</v>
      </c>
      <c r="D5880">
        <v>510</v>
      </c>
    </row>
    <row r="5881" spans="1:4">
      <c r="A5881" t="str">
        <f>"54618-3W400"</f>
        <v>54618-3W400</v>
      </c>
      <c r="B5881" t="str">
        <f>"ROD-STABILIZER"</f>
        <v>ROD-STABILIZER</v>
      </c>
      <c r="C5881">
        <v>24</v>
      </c>
      <c r="D5881">
        <v>544.67999999999995</v>
      </c>
    </row>
    <row r="5882" spans="1:4">
      <c r="A5882" t="str">
        <f>"54618-47B0A"</f>
        <v>54618-47B0A</v>
      </c>
      <c r="B5882" t="str">
        <f>"Стойка стабилизатора"</f>
        <v>Стойка стабилизатора</v>
      </c>
      <c r="C5882">
        <v>3</v>
      </c>
      <c r="D5882">
        <v>658.51199999999994</v>
      </c>
    </row>
    <row r="5883" spans="1:4">
      <c r="A5883" t="str">
        <f>"54618-4M400"</f>
        <v>54618-4M400</v>
      </c>
      <c r="B5883" t="str">
        <f>"ROD-STABILIZER"</f>
        <v>ROD-STABILIZER</v>
      </c>
      <c r="C5883">
        <v>11</v>
      </c>
      <c r="D5883">
        <v>462.67199999999997</v>
      </c>
    </row>
    <row r="5884" spans="1:4">
      <c r="A5884" t="str">
        <f>"54618-4N001"</f>
        <v>54618-4N001</v>
      </c>
      <c r="B5884" t="str">
        <f>"ROD-STABILIZER"</f>
        <v>ROD-STABILIZER</v>
      </c>
      <c r="C5884">
        <v>8</v>
      </c>
      <c r="D5884">
        <v>528.76799999999992</v>
      </c>
    </row>
    <row r="5885" spans="1:4">
      <c r="A5885" t="str">
        <f>"54618-4N010"</f>
        <v>54618-4N010</v>
      </c>
      <c r="B5885" t="str">
        <f>"ROD-CONN RR"</f>
        <v>ROD-CONN RR</v>
      </c>
      <c r="C5885">
        <v>6</v>
      </c>
      <c r="D5885">
        <v>738.4799999999999</v>
      </c>
    </row>
    <row r="5886" spans="1:4">
      <c r="A5886" t="str">
        <f>"54618-50Y00"</f>
        <v>54618-50Y00</v>
      </c>
      <c r="B5886" t="str">
        <f>"ROD-STABILIZER"</f>
        <v>ROD-STABILIZER</v>
      </c>
      <c r="C5886">
        <v>12</v>
      </c>
      <c r="D5886">
        <v>453.69599999999997</v>
      </c>
    </row>
    <row r="5887" spans="1:4">
      <c r="A5887" t="str">
        <f>"54618-56S11"</f>
        <v>54618-56S11</v>
      </c>
      <c r="B5887" t="str">
        <f>"ROD-STABILIZER"</f>
        <v>ROD-STABILIZER</v>
      </c>
      <c r="C5887">
        <v>14</v>
      </c>
      <c r="D5887">
        <v>592.82399999999996</v>
      </c>
    </row>
    <row r="5888" spans="1:4">
      <c r="A5888" t="str">
        <f>"54618-58Y60"</f>
        <v>54618-58Y60</v>
      </c>
      <c r="B5888" t="str">
        <f>"ROD-STABILIZER"</f>
        <v>ROD-STABILIZER</v>
      </c>
      <c r="C5888">
        <v>0</v>
      </c>
      <c r="D5888">
        <v>469.2</v>
      </c>
    </row>
    <row r="5889" spans="1:4">
      <c r="A5889" t="str">
        <f>"54618-7S000"</f>
        <v>54618-7S000</v>
      </c>
      <c r="B5889" t="str">
        <f>"ROD ASSY - CONN"</f>
        <v>ROD ASSY - CONN</v>
      </c>
      <c r="C5889">
        <v>0</v>
      </c>
      <c r="D5889">
        <v>527.952</v>
      </c>
    </row>
    <row r="5890" spans="1:4">
      <c r="A5890" t="str">
        <f>"54618-85E00"</f>
        <v>54618-85E00</v>
      </c>
      <c r="B5890" t="str">
        <f>"ROD STABILIZER"</f>
        <v>ROD STABILIZER</v>
      </c>
      <c r="C5890">
        <v>4</v>
      </c>
      <c r="D5890">
        <v>531.21600000000001</v>
      </c>
    </row>
    <row r="5891" spans="1:4">
      <c r="A5891" t="str">
        <f>"54618-8H300"</f>
        <v>54618-8H300</v>
      </c>
      <c r="B5891" t="str">
        <f>"ROD-STABILIZER"</f>
        <v>ROD-STABILIZER</v>
      </c>
      <c r="C5891">
        <v>74</v>
      </c>
      <c r="D5891">
        <v>513.67200000000003</v>
      </c>
    </row>
    <row r="5892" spans="1:4">
      <c r="A5892" t="str">
        <f>"54618-8J000"</f>
        <v>54618-8J000</v>
      </c>
      <c r="B5892" t="str">
        <f>"Стойка стабилизатора"</f>
        <v>Стойка стабилизатора</v>
      </c>
      <c r="C5892">
        <v>3</v>
      </c>
      <c r="D5892">
        <v>662.18400000000008</v>
      </c>
    </row>
    <row r="5893" spans="1:4">
      <c r="A5893" t="str">
        <f>"54618-9W200"</f>
        <v>54618-9W200</v>
      </c>
      <c r="B5893" t="str">
        <f>"Стойка стабилизатора"</f>
        <v>Стойка стабилизатора</v>
      </c>
      <c r="C5893">
        <v>13</v>
      </c>
      <c r="D5893">
        <v>680.13599999999997</v>
      </c>
    </row>
    <row r="5894" spans="1:4">
      <c r="A5894" t="str">
        <f>"54618-AD000"</f>
        <v>54618-AD000</v>
      </c>
      <c r="B5894" t="str">
        <f>"Стойка стабилизатора"</f>
        <v>Стойка стабилизатора</v>
      </c>
      <c r="C5894">
        <v>0</v>
      </c>
      <c r="D5894">
        <v>578.54399999999998</v>
      </c>
    </row>
    <row r="5895" spans="1:4">
      <c r="A5895" t="str">
        <f>"54618-AL502"</f>
        <v>54618-AL502</v>
      </c>
      <c r="B5895" t="str">
        <f>"ROD-STABILIZER"</f>
        <v>ROD-STABILIZER</v>
      </c>
      <c r="C5895">
        <v>13</v>
      </c>
      <c r="D5895">
        <v>469.60799999999995</v>
      </c>
    </row>
    <row r="5896" spans="1:4">
      <c r="A5896" t="str">
        <f>"54618-AQ300"</f>
        <v>54618-AQ300</v>
      </c>
      <c r="B5896" t="str">
        <f>"Стойка стабилизатора"</f>
        <v>Стойка стабилизатора</v>
      </c>
      <c r="C5896">
        <v>3</v>
      </c>
      <c r="D5896">
        <v>710.32800000000009</v>
      </c>
    </row>
    <row r="5897" spans="1:4">
      <c r="A5897" t="str">
        <f>"54618-AR00B"</f>
        <v>54618-AR00B</v>
      </c>
      <c r="B5897" t="str">
        <f>"Стойка стабилизатора"</f>
        <v>Стойка стабилизатора</v>
      </c>
      <c r="C5897">
        <v>3</v>
      </c>
      <c r="D5897">
        <v>688.70399999999995</v>
      </c>
    </row>
    <row r="5898" spans="1:4">
      <c r="A5898" t="str">
        <f>"54618-AU000"</f>
        <v>54618-AU000</v>
      </c>
      <c r="B5898" t="str">
        <f>"ROD-STABILIZER"</f>
        <v>ROD-STABILIZER</v>
      </c>
      <c r="C5898">
        <v>134</v>
      </c>
      <c r="D5898">
        <v>509.18399999999997</v>
      </c>
    </row>
    <row r="5899" spans="1:4">
      <c r="A5899" t="str">
        <f>"54618-BA30A"</f>
        <v>54618-BA30A</v>
      </c>
      <c r="B5899" t="str">
        <f>"Стойка стабилизатора"</f>
        <v>Стойка стабилизатора</v>
      </c>
      <c r="C5899">
        <v>47</v>
      </c>
      <c r="D5899">
        <v>457.77600000000001</v>
      </c>
    </row>
    <row r="5900" spans="1:4">
      <c r="A5900" t="str">
        <f>"54618-BU70A"</f>
        <v>54618-BU70A</v>
      </c>
      <c r="B5900" t="str">
        <f>"Стойка стабилизатора"</f>
        <v>Стойка стабилизатора</v>
      </c>
      <c r="C5900">
        <v>3</v>
      </c>
      <c r="D5900">
        <v>518.16</v>
      </c>
    </row>
    <row r="5901" spans="1:4">
      <c r="A5901" t="str">
        <f>"54618-CA00E"</f>
        <v>54618-CA00E</v>
      </c>
      <c r="B5901" t="str">
        <f>"Стойка стабилизатора"</f>
        <v>Стойка стабилизатора</v>
      </c>
      <c r="C5901">
        <v>80</v>
      </c>
      <c r="D5901">
        <v>658.10399999999993</v>
      </c>
    </row>
    <row r="5902" spans="1:4">
      <c r="A5902" t="str">
        <f>"54618-CA010"</f>
        <v>54618-CA010</v>
      </c>
      <c r="B5902" t="str">
        <f>"ROD-CONN RR"</f>
        <v>ROD-CONN RR</v>
      </c>
      <c r="C5902">
        <v>49</v>
      </c>
      <c r="D5902">
        <v>705.43200000000002</v>
      </c>
    </row>
    <row r="5903" spans="1:4">
      <c r="A5903" t="str">
        <f>"54618-CK000"</f>
        <v>54618-CK000</v>
      </c>
      <c r="B5903" t="str">
        <f>"Стойка стабилизатора"</f>
        <v>Стойка стабилизатора</v>
      </c>
      <c r="C5903">
        <v>5</v>
      </c>
      <c r="D5903">
        <v>654.43200000000002</v>
      </c>
    </row>
    <row r="5904" spans="1:4">
      <c r="A5904" t="str">
        <f>"54618-CN01E"</f>
        <v>54618-CN01E</v>
      </c>
      <c r="B5904" t="str">
        <f>"Стойка стабилизатора"</f>
        <v>Стойка стабилизатора</v>
      </c>
      <c r="C5904">
        <v>135</v>
      </c>
      <c r="D5904">
        <v>739.29600000000005</v>
      </c>
    </row>
    <row r="5905" spans="1:4">
      <c r="A5905" t="str">
        <f>"54618-CY00A"</f>
        <v>54618-CY00A</v>
      </c>
      <c r="B5905" t="str">
        <f>"Стойка стабилизатора"</f>
        <v>Стойка стабилизатора</v>
      </c>
      <c r="C5905">
        <v>7</v>
      </c>
      <c r="D5905">
        <v>689.52</v>
      </c>
    </row>
    <row r="5906" spans="1:4">
      <c r="A5906" t="str">
        <f>"54618-EA010"</f>
        <v>54618-EA010</v>
      </c>
      <c r="B5906" t="str">
        <f>"ROD ASSY-CONNEC"</f>
        <v>ROD ASSY-CONNEC</v>
      </c>
      <c r="C5906">
        <v>0</v>
      </c>
      <c r="D5906">
        <v>730.32</v>
      </c>
    </row>
    <row r="5907" spans="1:4">
      <c r="A5907" t="str">
        <f>"54618-EG001"</f>
        <v>54618-EG001</v>
      </c>
      <c r="B5907" t="str">
        <f t="shared" ref="B5907:B5914" si="110">"Стойка стабилизатора"</f>
        <v>Стойка стабилизатора</v>
      </c>
      <c r="C5907">
        <v>34</v>
      </c>
      <c r="D5907">
        <v>485.928</v>
      </c>
    </row>
    <row r="5908" spans="1:4">
      <c r="A5908" t="str">
        <f>"54618-EG02A"</f>
        <v>54618-EG02A</v>
      </c>
      <c r="B5908" t="str">
        <f t="shared" si="110"/>
        <v>Стойка стабилизатора</v>
      </c>
      <c r="C5908">
        <v>51</v>
      </c>
      <c r="D5908">
        <v>675.24</v>
      </c>
    </row>
    <row r="5909" spans="1:4">
      <c r="A5909" t="str">
        <f>"54618-EG02C"</f>
        <v>54618-EG02C</v>
      </c>
      <c r="B5909" t="str">
        <f t="shared" si="110"/>
        <v>Стойка стабилизатора</v>
      </c>
      <c r="C5909">
        <v>13</v>
      </c>
      <c r="D5909">
        <v>667.07999999999993</v>
      </c>
    </row>
    <row r="5910" spans="1:4">
      <c r="A5910" t="str">
        <f>"54618-EG03A"</f>
        <v>54618-EG03A</v>
      </c>
      <c r="B5910" t="str">
        <f t="shared" si="110"/>
        <v>Стойка стабилизатора</v>
      </c>
      <c r="C5910">
        <v>0</v>
      </c>
      <c r="D5910">
        <v>675.24</v>
      </c>
    </row>
    <row r="5911" spans="1:4">
      <c r="A5911" t="str">
        <f>"54618-JK02D"</f>
        <v>54618-JK02D</v>
      </c>
      <c r="B5911" t="str">
        <f t="shared" si="110"/>
        <v>Стойка стабилизатора</v>
      </c>
      <c r="C5911">
        <v>2</v>
      </c>
      <c r="D5911">
        <v>641.78399999999999</v>
      </c>
    </row>
    <row r="5912" spans="1:4">
      <c r="A5912" t="str">
        <f>"54618-JK52C"</f>
        <v>54618-JK52C</v>
      </c>
      <c r="B5912" t="str">
        <f t="shared" si="110"/>
        <v>Стойка стабилизатора</v>
      </c>
      <c r="C5912">
        <v>3</v>
      </c>
      <c r="D5912">
        <v>584.25599999999997</v>
      </c>
    </row>
    <row r="5913" spans="1:4">
      <c r="A5913" t="str">
        <f>"54618-JX00A"</f>
        <v>54618-JX00A</v>
      </c>
      <c r="B5913" t="str">
        <f t="shared" si="110"/>
        <v>Стойка стабилизатора</v>
      </c>
      <c r="C5913">
        <v>60</v>
      </c>
      <c r="D5913">
        <v>604.24800000000005</v>
      </c>
    </row>
    <row r="5914" spans="1:4">
      <c r="A5914" t="str">
        <f>"54618-MB40A"</f>
        <v>54618-MB40A</v>
      </c>
      <c r="B5914" t="str">
        <f t="shared" si="110"/>
        <v>Стойка стабилизатора</v>
      </c>
      <c r="C5914">
        <v>12</v>
      </c>
      <c r="D5914">
        <v>811.51199999999994</v>
      </c>
    </row>
    <row r="5915" spans="1:4">
      <c r="A5915" t="str">
        <f>"54618-VC300"</f>
        <v>54618-VC300</v>
      </c>
      <c r="B5915" t="str">
        <f>"ROD-STABILIZER"</f>
        <v>ROD-STABILIZER</v>
      </c>
      <c r="C5915">
        <v>38</v>
      </c>
      <c r="D5915">
        <v>505.51199999999994</v>
      </c>
    </row>
    <row r="5916" spans="1:4">
      <c r="A5916" t="str">
        <f>"54618-WF101"</f>
        <v>54618-WF101</v>
      </c>
      <c r="B5916" t="str">
        <f>"ROD-STABILIZER"</f>
        <v>ROD-STABILIZER</v>
      </c>
      <c r="C5916">
        <v>0</v>
      </c>
      <c r="D5916">
        <v>565.07999999999993</v>
      </c>
    </row>
    <row r="5917" spans="1:4">
      <c r="A5917" t="str">
        <f>"54618-WL01A"</f>
        <v>54618-WL01A</v>
      </c>
      <c r="B5917" t="str">
        <f>"Стойка стабилизатора"</f>
        <v>Стойка стабилизатора</v>
      </c>
      <c r="C5917">
        <v>15</v>
      </c>
      <c r="D5917">
        <v>703.39199999999994</v>
      </c>
    </row>
    <row r="5918" spans="1:4">
      <c r="A5918" t="str">
        <f>"54630-02E0A"</f>
        <v>54630-02E0A</v>
      </c>
      <c r="B5918" t="str">
        <f>"Втулка стойки стабил"</f>
        <v>Втулка стойки стабил</v>
      </c>
      <c r="C5918">
        <v>14</v>
      </c>
      <c r="D5918">
        <v>118.32</v>
      </c>
    </row>
    <row r="5919" spans="1:4">
      <c r="A5919" t="str">
        <f>"54668-1AA0E"</f>
        <v>54668-1AA0E</v>
      </c>
      <c r="B5919" t="str">
        <f>"Стойка стабилизатора"</f>
        <v>Стойка стабилизатора</v>
      </c>
      <c r="C5919">
        <v>0</v>
      </c>
      <c r="D5919">
        <v>584.25599999999997</v>
      </c>
    </row>
    <row r="5920" spans="1:4">
      <c r="A5920" t="str">
        <f>"54668-1C101"</f>
        <v>54668-1C101</v>
      </c>
      <c r="B5920" t="str">
        <f>"ROD A-CONNECTNG"</f>
        <v>ROD A-CONNECTNG</v>
      </c>
      <c r="C5920">
        <v>0</v>
      </c>
      <c r="D5920">
        <v>614.85599999999999</v>
      </c>
    </row>
    <row r="5921" spans="1:4">
      <c r="A5921" t="str">
        <f>"54668-1CA3A"</f>
        <v>54668-1CA3A</v>
      </c>
      <c r="B5921" t="str">
        <f>""</f>
        <v/>
      </c>
      <c r="C5921">
        <v>0</v>
      </c>
      <c r="D5921">
        <v>697.27199999999993</v>
      </c>
    </row>
    <row r="5922" spans="1:4">
      <c r="A5922" t="str">
        <f>"54668-1CA3B"</f>
        <v>54668-1CA3B</v>
      </c>
      <c r="B5922" t="str">
        <f>"ROD-CONNECTING."</f>
        <v>ROD-CONNECTING.</v>
      </c>
      <c r="C5922">
        <v>0</v>
      </c>
      <c r="D5922">
        <v>800.08799999999997</v>
      </c>
    </row>
    <row r="5923" spans="1:4">
      <c r="A5923" t="str">
        <f>"54668-2Y00A"</f>
        <v>54668-2Y00A</v>
      </c>
      <c r="B5923" t="str">
        <f>" ROD-CONNECTING"</f>
        <v xml:space="preserve"> ROD-CONNECTING</v>
      </c>
      <c r="C5923">
        <v>86</v>
      </c>
      <c r="D5923">
        <v>670.75200000000007</v>
      </c>
    </row>
    <row r="5924" spans="1:4">
      <c r="A5924" t="str">
        <f>"54668-4N001"</f>
        <v>54668-4N001</v>
      </c>
      <c r="B5924" t="str">
        <f>"ROD A-CONNECTNG"</f>
        <v>ROD A-CONNECTNG</v>
      </c>
      <c r="C5924">
        <v>4</v>
      </c>
      <c r="D5924">
        <v>522.24</v>
      </c>
    </row>
    <row r="5925" spans="1:4">
      <c r="A5925" t="str">
        <f>"54668-4N010"</f>
        <v>54668-4N010</v>
      </c>
      <c r="B5925" t="str">
        <f>"ROD-CONN RR"</f>
        <v>ROD-CONN RR</v>
      </c>
      <c r="C5925">
        <v>2</v>
      </c>
      <c r="D5925">
        <v>747.04799999999989</v>
      </c>
    </row>
    <row r="5926" spans="1:4">
      <c r="A5926" t="str">
        <f>"54668-4U000"</f>
        <v>54668-4U000</v>
      </c>
      <c r="B5926" t="str">
        <f>"ROD A-CONNECTNG"</f>
        <v>ROD A-CONNECTNG</v>
      </c>
      <c r="C5926">
        <v>3</v>
      </c>
      <c r="D5926">
        <v>551.61599999999999</v>
      </c>
    </row>
    <row r="5927" spans="1:4">
      <c r="A5927" t="str">
        <f>"54668-85E00"</f>
        <v>54668-85E00</v>
      </c>
      <c r="B5927" t="str">
        <f>"ROD A CONNECTIN"</f>
        <v>ROD A CONNECTIN</v>
      </c>
      <c r="C5927">
        <v>1</v>
      </c>
      <c r="D5927">
        <v>696.04799999999989</v>
      </c>
    </row>
    <row r="5928" spans="1:4">
      <c r="A5928" t="str">
        <f>"54668-8H300"</f>
        <v>54668-8H300</v>
      </c>
      <c r="B5928" t="str">
        <f>"ROD A-CONNECTNG"</f>
        <v>ROD A-CONNECTNG</v>
      </c>
      <c r="C5928">
        <v>26</v>
      </c>
      <c r="D5928">
        <v>513.67200000000003</v>
      </c>
    </row>
    <row r="5929" spans="1:4">
      <c r="A5929" t="str">
        <f>"54668-8J000"</f>
        <v>54668-8J000</v>
      </c>
      <c r="B5929" t="str">
        <f>"Стойка стабилизатора"</f>
        <v>Стойка стабилизатора</v>
      </c>
      <c r="C5929">
        <v>2</v>
      </c>
      <c r="D5929">
        <v>629.13599999999997</v>
      </c>
    </row>
    <row r="5930" spans="1:4">
      <c r="A5930" t="str">
        <f>"54668-9W200"</f>
        <v>54668-9W200</v>
      </c>
      <c r="B5930" t="str">
        <f>"Стойка стабилизатора"</f>
        <v>Стойка стабилизатора</v>
      </c>
      <c r="C5930">
        <v>17</v>
      </c>
      <c r="D5930">
        <v>576.91199999999992</v>
      </c>
    </row>
    <row r="5931" spans="1:4">
      <c r="A5931" t="str">
        <f>"54668-AL502"</f>
        <v>54668-AL502</v>
      </c>
      <c r="B5931" t="str">
        <f>"ROD A-CONNECTNG"</f>
        <v>ROD A-CONNECTNG</v>
      </c>
      <c r="C5931">
        <v>17</v>
      </c>
      <c r="D5931">
        <v>531.21600000000001</v>
      </c>
    </row>
    <row r="5932" spans="1:4">
      <c r="A5932" t="str">
        <f>"54668-AQ300"</f>
        <v>54668-AQ300</v>
      </c>
      <c r="B5932" t="str">
        <f>"Стойка стабилизатора"</f>
        <v>Стойка стабилизатора</v>
      </c>
      <c r="C5932">
        <v>13</v>
      </c>
      <c r="D5932">
        <v>711.95999999999992</v>
      </c>
    </row>
    <row r="5933" spans="1:4">
      <c r="A5933" t="str">
        <f>"54668-AR00B"</f>
        <v>54668-AR00B</v>
      </c>
      <c r="B5933" t="str">
        <f>"Стойка стабилизатора"</f>
        <v>Стойка стабилизатора</v>
      </c>
      <c r="C5933">
        <v>2</v>
      </c>
      <c r="D5933">
        <v>666.67199999999991</v>
      </c>
    </row>
    <row r="5934" spans="1:4">
      <c r="A5934" t="str">
        <f>"54668-AU000"</f>
        <v>54668-AU000</v>
      </c>
      <c r="B5934" t="str">
        <f>"ROD A-CONNECTNG"</f>
        <v>ROD A-CONNECTNG</v>
      </c>
      <c r="C5934">
        <v>72</v>
      </c>
      <c r="D5934">
        <v>508.36799999999994</v>
      </c>
    </row>
    <row r="5935" spans="1:4">
      <c r="A5935" t="str">
        <f>"54668-BA30A"</f>
        <v>54668-BA30A</v>
      </c>
      <c r="B5935" t="str">
        <f>"Стойка стабилизатора"</f>
        <v>Стойка стабилизатора</v>
      </c>
      <c r="C5935">
        <v>26</v>
      </c>
      <c r="D5935">
        <v>470.83199999999999</v>
      </c>
    </row>
    <row r="5936" spans="1:4">
      <c r="A5936" t="str">
        <f>"54668-CA00E"</f>
        <v>54668-CA00E</v>
      </c>
      <c r="B5936" t="str">
        <f>"Стойка стабилизатора"</f>
        <v>Стойка стабилизатора</v>
      </c>
      <c r="C5936">
        <v>35</v>
      </c>
      <c r="D5936">
        <v>667.07999999999993</v>
      </c>
    </row>
    <row r="5937" spans="1:4">
      <c r="A5937" t="str">
        <f>"54668-CA010"</f>
        <v>54668-CA010</v>
      </c>
      <c r="B5937" t="str">
        <f>"ROD-CONN RR"</f>
        <v>ROD-CONN RR</v>
      </c>
      <c r="C5937">
        <v>58</v>
      </c>
      <c r="D5937">
        <v>678.91199999999992</v>
      </c>
    </row>
    <row r="5938" spans="1:4">
      <c r="A5938" t="str">
        <f>"54668-CK000"</f>
        <v>54668-CK000</v>
      </c>
      <c r="B5938" t="str">
        <f>"Стойка стабилизатора"</f>
        <v>Стойка стабилизатора</v>
      </c>
      <c r="C5938">
        <v>1</v>
      </c>
      <c r="D5938">
        <v>681.76799999999992</v>
      </c>
    </row>
    <row r="5939" spans="1:4">
      <c r="A5939" t="str">
        <f>"54668-CN01E"</f>
        <v>54668-CN01E</v>
      </c>
      <c r="B5939" t="str">
        <f>"Стойка стабилизатора"</f>
        <v>Стойка стабилизатора</v>
      </c>
      <c r="C5939">
        <v>255</v>
      </c>
      <c r="D5939">
        <v>762.55200000000002</v>
      </c>
    </row>
    <row r="5940" spans="1:4">
      <c r="A5940" t="str">
        <f>"54668-EA010"</f>
        <v>54668-EA010</v>
      </c>
      <c r="B5940" t="str">
        <f>"ROD ASSY-CONNEC"</f>
        <v>ROD ASSY-CONNEC</v>
      </c>
      <c r="C5940">
        <v>10</v>
      </c>
      <c r="D5940">
        <v>805.39199999999994</v>
      </c>
    </row>
    <row r="5941" spans="1:4">
      <c r="A5941" t="str">
        <f>"54668-EG001"</f>
        <v>54668-EG001</v>
      </c>
      <c r="B5941" t="str">
        <f t="shared" ref="B5941:B5947" si="111">"Стойка стабилизатора"</f>
        <v>Стойка стабилизатора</v>
      </c>
      <c r="C5941">
        <v>10</v>
      </c>
      <c r="D5941">
        <v>653.61599999999987</v>
      </c>
    </row>
    <row r="5942" spans="1:4">
      <c r="A5942" t="str">
        <f>"54668-EG02A"</f>
        <v>54668-EG02A</v>
      </c>
      <c r="B5942" t="str">
        <f t="shared" si="111"/>
        <v>Стойка стабилизатора</v>
      </c>
      <c r="C5942">
        <v>37</v>
      </c>
      <c r="D5942">
        <v>679.72800000000007</v>
      </c>
    </row>
    <row r="5943" spans="1:4">
      <c r="A5943" t="str">
        <f>"54668-EG02B"</f>
        <v>54668-EG02B</v>
      </c>
      <c r="B5943" t="str">
        <f t="shared" si="111"/>
        <v>Стойка стабилизатора</v>
      </c>
      <c r="C5943">
        <v>14</v>
      </c>
      <c r="D5943">
        <v>676.46400000000006</v>
      </c>
    </row>
    <row r="5944" spans="1:4">
      <c r="A5944" t="str">
        <f>"54668-EG02C"</f>
        <v>54668-EG02C</v>
      </c>
      <c r="B5944" t="str">
        <f t="shared" si="111"/>
        <v>Стойка стабилизатора</v>
      </c>
      <c r="C5944">
        <v>0</v>
      </c>
      <c r="D5944">
        <v>674.01599999999996</v>
      </c>
    </row>
    <row r="5945" spans="1:4">
      <c r="A5945" t="str">
        <f>"54668-JK02D"</f>
        <v>54668-JK02D</v>
      </c>
      <c r="B5945" t="str">
        <f t="shared" si="111"/>
        <v>Стойка стабилизатора</v>
      </c>
      <c r="C5945">
        <v>4</v>
      </c>
      <c r="D5945">
        <v>656.47199999999987</v>
      </c>
    </row>
    <row r="5946" spans="1:4">
      <c r="A5946" t="str">
        <f>"54668-JK52C"</f>
        <v>54668-JK52C</v>
      </c>
      <c r="B5946" t="str">
        <f t="shared" si="111"/>
        <v>Стойка стабилизатора</v>
      </c>
      <c r="C5946">
        <v>0</v>
      </c>
      <c r="D5946">
        <v>645.45600000000002</v>
      </c>
    </row>
    <row r="5947" spans="1:4">
      <c r="A5947" t="str">
        <f>"54668-WL01A"</f>
        <v>54668-WL01A</v>
      </c>
      <c r="B5947" t="str">
        <f t="shared" si="111"/>
        <v>Стойка стабилизатора</v>
      </c>
      <c r="C5947">
        <v>13</v>
      </c>
      <c r="D5947">
        <v>755.20799999999997</v>
      </c>
    </row>
    <row r="5948" spans="1:4">
      <c r="A5948" t="str">
        <f>"54721-EA300"</f>
        <v>54721-EA300</v>
      </c>
      <c r="B5948" t="str">
        <f>"Сайлентблок"</f>
        <v>Сайлентблок</v>
      </c>
      <c r="C5948">
        <v>1</v>
      </c>
      <c r="D5948">
        <v>1964.9279999999999</v>
      </c>
    </row>
    <row r="5949" spans="1:4">
      <c r="A5949" t="str">
        <f>"54830-AU000"</f>
        <v>54830-AU000</v>
      </c>
      <c r="B5949" t="str">
        <f>"Кронштейн рычага под"</f>
        <v>Кронштейн рычага под</v>
      </c>
      <c r="C5949">
        <v>1</v>
      </c>
      <c r="D5949">
        <v>558.55199999999991</v>
      </c>
    </row>
    <row r="5950" spans="1:4">
      <c r="A5950" t="str">
        <f>"54831-AU000"</f>
        <v>54831-AU000</v>
      </c>
      <c r="B5950" t="str">
        <f>"Кронштейн рычага под"</f>
        <v>Кронштейн рычага под</v>
      </c>
      <c r="C5950">
        <v>5</v>
      </c>
      <c r="D5950">
        <v>550.39200000000005</v>
      </c>
    </row>
    <row r="5951" spans="1:4">
      <c r="A5951" t="str">
        <f>"55020-1C710"</f>
        <v>55020-1C710</v>
      </c>
      <c r="B5951" t="str">
        <f>"SPRING ASSY"</f>
        <v>SPRING ASSY</v>
      </c>
      <c r="C5951">
        <v>0</v>
      </c>
      <c r="D5951">
        <v>9329.735999999999</v>
      </c>
    </row>
    <row r="5952" spans="1:4">
      <c r="A5952" t="str">
        <f>"55020-2W100"</f>
        <v>55020-2W100</v>
      </c>
      <c r="B5952" t="str">
        <f t="shared" ref="B5952:B5958" si="112">"SPRING-REAR SUS"</f>
        <v>SPRING-REAR SUS</v>
      </c>
      <c r="C5952">
        <v>8</v>
      </c>
      <c r="D5952">
        <v>5786.2560000000003</v>
      </c>
    </row>
    <row r="5953" spans="1:4">
      <c r="A5953" t="str">
        <f>"55020-2W601"</f>
        <v>55020-2W601</v>
      </c>
      <c r="B5953" t="str">
        <f t="shared" si="112"/>
        <v>SPRING-REAR SUS</v>
      </c>
      <c r="C5953">
        <v>5</v>
      </c>
      <c r="D5953">
        <v>5851.1279999999997</v>
      </c>
    </row>
    <row r="5954" spans="1:4">
      <c r="A5954" t="str">
        <f>"55020-2Y423"</f>
        <v>55020-2Y423</v>
      </c>
      <c r="B5954" t="str">
        <f t="shared" si="112"/>
        <v>SPRING-REAR SUS</v>
      </c>
      <c r="C5954">
        <v>4</v>
      </c>
      <c r="D5954">
        <v>5396.2079999999996</v>
      </c>
    </row>
    <row r="5955" spans="1:4">
      <c r="A5955" t="str">
        <f>"55020-2Y460"</f>
        <v>55020-2Y460</v>
      </c>
      <c r="B5955" t="str">
        <f t="shared" si="112"/>
        <v>SPRING-REAR SUS</v>
      </c>
      <c r="C5955">
        <v>6</v>
      </c>
      <c r="D5955">
        <v>5416.6080000000002</v>
      </c>
    </row>
    <row r="5956" spans="1:4">
      <c r="A5956" t="str">
        <f>"55020-2Y461"</f>
        <v>55020-2Y461</v>
      </c>
      <c r="B5956" t="str">
        <f t="shared" si="112"/>
        <v>SPRING-REAR SUS</v>
      </c>
      <c r="C5956">
        <v>6</v>
      </c>
      <c r="D5956">
        <v>5039.616</v>
      </c>
    </row>
    <row r="5957" spans="1:4">
      <c r="A5957" t="str">
        <f>"55020-5C010"</f>
        <v>55020-5C010</v>
      </c>
      <c r="B5957" t="str">
        <f t="shared" si="112"/>
        <v>SPRING-REAR SUS</v>
      </c>
      <c r="C5957">
        <v>3</v>
      </c>
      <c r="D5957">
        <v>9821.7839999999997</v>
      </c>
    </row>
    <row r="5958" spans="1:4">
      <c r="A5958" t="str">
        <f>"55020-8H762"</f>
        <v>55020-8H762</v>
      </c>
      <c r="B5958" t="str">
        <f t="shared" si="112"/>
        <v>SPRING-REAR SUS</v>
      </c>
      <c r="C5958">
        <v>7</v>
      </c>
      <c r="D5958">
        <v>3867.8399999999997</v>
      </c>
    </row>
    <row r="5959" spans="1:4">
      <c r="A5959" t="str">
        <f>"55020-9W50A"</f>
        <v>55020-9W50A</v>
      </c>
      <c r="B5959" t="str">
        <f>"Пружина подвески зад"</f>
        <v>Пружина подвески зад</v>
      </c>
      <c r="C5959">
        <v>6</v>
      </c>
      <c r="D5959">
        <v>5404.3680000000004</v>
      </c>
    </row>
    <row r="5960" spans="1:4">
      <c r="A5960" t="str">
        <f>"55020-9W50B"</f>
        <v>55020-9W50B</v>
      </c>
      <c r="B5960" t="str">
        <f>"Пружина задней подве"</f>
        <v>Пружина задней подве</v>
      </c>
      <c r="C5960">
        <v>2</v>
      </c>
      <c r="D5960">
        <v>5505.96</v>
      </c>
    </row>
    <row r="5961" spans="1:4">
      <c r="A5961" t="str">
        <f>"55020-AV600"</f>
        <v>55020-AV600</v>
      </c>
      <c r="B5961" t="str">
        <f>"Пружина задней подве"</f>
        <v>Пружина задней подве</v>
      </c>
      <c r="C5961">
        <v>4</v>
      </c>
      <c r="D5961">
        <v>5431.7039999999997</v>
      </c>
    </row>
    <row r="5962" spans="1:4">
      <c r="A5962" t="str">
        <f>"55020-EB300"</f>
        <v>55020-EB300</v>
      </c>
      <c r="B5962" t="str">
        <f>"Рессора"</f>
        <v>Рессора</v>
      </c>
      <c r="C5962">
        <v>0</v>
      </c>
      <c r="D5962">
        <v>11657.784</v>
      </c>
    </row>
    <row r="5963" spans="1:4">
      <c r="A5963" t="str">
        <f>"55020-JG21A"</f>
        <v>55020-JG21A</v>
      </c>
      <c r="B5963" t="str">
        <f>"SPRING-REAR SUS"</f>
        <v>SPRING-REAR SUS</v>
      </c>
      <c r="C5963">
        <v>0</v>
      </c>
      <c r="D5963">
        <v>5525.5439999999999</v>
      </c>
    </row>
    <row r="5964" spans="1:4">
      <c r="A5964" t="str">
        <f>"55020-JN90E"</f>
        <v>55020-JN90E</v>
      </c>
      <c r="B5964" t="str">
        <f>"Пружина задней подве"</f>
        <v>Пружина задней подве</v>
      </c>
      <c r="C5964">
        <v>1</v>
      </c>
      <c r="D5964">
        <v>5471.28</v>
      </c>
    </row>
    <row r="5965" spans="1:4">
      <c r="A5965" t="str">
        <f>"55020-ZQ20B"</f>
        <v>55020-ZQ20B</v>
      </c>
      <c r="B5965" t="str">
        <f>"SPRING-REAR SUS"</f>
        <v>SPRING-REAR SUS</v>
      </c>
      <c r="C5965">
        <v>0</v>
      </c>
      <c r="D5965">
        <v>3277.8719999999998</v>
      </c>
    </row>
    <row r="5966" spans="1:4">
      <c r="A5966" t="str">
        <f>"55032-AX601"</f>
        <v>55032-AX601</v>
      </c>
      <c r="B5966" t="str">
        <f>"SEAT-RUBBER,REA"</f>
        <v>SEAT-RUBBER,REA</v>
      </c>
      <c r="C5966">
        <v>12</v>
      </c>
      <c r="D5966">
        <v>510.40799999999996</v>
      </c>
    </row>
    <row r="5967" spans="1:4">
      <c r="A5967" t="str">
        <f>"55034-31U00"</f>
        <v>55034-31U00</v>
      </c>
      <c r="B5967" t="str">
        <f>"SEAT"</f>
        <v>SEAT</v>
      </c>
      <c r="C5967">
        <v>12</v>
      </c>
      <c r="D5967">
        <v>414.52799999999996</v>
      </c>
    </row>
    <row r="5968" spans="1:4">
      <c r="A5968" t="str">
        <f>"55034-VB010"</f>
        <v>55034-VB010</v>
      </c>
      <c r="B5968" t="str">
        <f>"SEAT"</f>
        <v>SEAT</v>
      </c>
      <c r="C5968">
        <v>0</v>
      </c>
      <c r="D5968">
        <v>417.79200000000003</v>
      </c>
    </row>
    <row r="5969" spans="1:4">
      <c r="A5969" t="str">
        <f>"55036-50A00"</f>
        <v>55036-50A00</v>
      </c>
      <c r="B5969" t="str">
        <f>"SEAT-BOUND BUMP"</f>
        <v>SEAT-BOUND BUMP</v>
      </c>
      <c r="C5969">
        <v>14</v>
      </c>
      <c r="D5969">
        <v>264.79199999999997</v>
      </c>
    </row>
    <row r="5970" spans="1:4">
      <c r="A5970" t="str">
        <f>"55036-7S000"</f>
        <v>55036-7S000</v>
      </c>
      <c r="B5970" t="str">
        <f>"Кольцо пружины уплот"</f>
        <v>Кольцо пружины уплот</v>
      </c>
      <c r="C5970">
        <v>1</v>
      </c>
      <c r="D5970">
        <v>245.61599999999999</v>
      </c>
    </row>
    <row r="5971" spans="1:4">
      <c r="A5971" t="str">
        <f>"55036-WL000"</f>
        <v>55036-WL000</v>
      </c>
      <c r="B5971" t="str">
        <f>"Кольцо пружины уплот"</f>
        <v>Кольцо пружины уплот</v>
      </c>
      <c r="C5971">
        <v>0</v>
      </c>
      <c r="D5971">
        <v>531.62399999999991</v>
      </c>
    </row>
    <row r="5972" spans="1:4">
      <c r="A5972" t="str">
        <f>"55040-D0100"</f>
        <v>55040-D0100</v>
      </c>
      <c r="B5972" t="str">
        <f>"SEAT-RUBBER,RR"</f>
        <v>SEAT-RUBBER,RR</v>
      </c>
      <c r="C5972">
        <v>26</v>
      </c>
      <c r="D5972">
        <v>350.47199999999998</v>
      </c>
    </row>
    <row r="5973" spans="1:4">
      <c r="A5973" t="str">
        <f>"55044-CG010"</f>
        <v>55044-CG010</v>
      </c>
      <c r="B5973" t="str">
        <f>"Стопорная шайба рыча"</f>
        <v>Стопорная шайба рыча</v>
      </c>
      <c r="C5973">
        <v>0</v>
      </c>
      <c r="D5973">
        <v>114.64800000000001</v>
      </c>
    </row>
    <row r="5974" spans="1:4">
      <c r="A5974" t="str">
        <f>"55045-1W201"</f>
        <v>55045-1W201</v>
      </c>
      <c r="B5974" t="str">
        <f>"BUSH SPRING"</f>
        <v>BUSH SPRING</v>
      </c>
      <c r="C5974">
        <v>38</v>
      </c>
      <c r="D5974">
        <v>595.67999999999995</v>
      </c>
    </row>
    <row r="5975" spans="1:4">
      <c r="A5975" t="str">
        <f>"55045-G9600"</f>
        <v>55045-G9600</v>
      </c>
      <c r="B5975" t="str">
        <f>"BUSH SUSPENSION"</f>
        <v>BUSH SUSPENSION</v>
      </c>
      <c r="C5975">
        <v>12</v>
      </c>
      <c r="D5975">
        <v>249.696</v>
      </c>
    </row>
    <row r="5976" spans="1:4">
      <c r="A5976" t="str">
        <f>"55045-VB010"</f>
        <v>55045-VB010</v>
      </c>
      <c r="B5976" t="str">
        <f>"BUSH SPRING"</f>
        <v>BUSH SPRING</v>
      </c>
      <c r="C5976">
        <v>0</v>
      </c>
      <c r="D5976">
        <v>529.58399999999995</v>
      </c>
    </row>
    <row r="5977" spans="1:4">
      <c r="A5977" t="str">
        <f>"55046-01G00"</f>
        <v>55046-01G00</v>
      </c>
      <c r="B5977" t="str">
        <f>"BUSHING-REAR SP"</f>
        <v>BUSHING-REAR SP</v>
      </c>
      <c r="C5977">
        <v>19</v>
      </c>
      <c r="D5977">
        <v>124.848</v>
      </c>
    </row>
    <row r="5978" spans="1:4">
      <c r="A5978" t="str">
        <f>"55046-0F000"</f>
        <v>55046-0F000</v>
      </c>
      <c r="B5978" t="str">
        <f>"BUSHING"</f>
        <v>BUSHING</v>
      </c>
      <c r="C5978">
        <v>10</v>
      </c>
      <c r="D5978">
        <v>549.98399999999992</v>
      </c>
    </row>
    <row r="5979" spans="1:4">
      <c r="A5979" t="str">
        <f>"55046-0W001"</f>
        <v>55046-0W001</v>
      </c>
      <c r="B5979" t="str">
        <f>"BUSHING"</f>
        <v>BUSHING</v>
      </c>
      <c r="C5979">
        <v>10</v>
      </c>
      <c r="D5979">
        <v>526.72799999999995</v>
      </c>
    </row>
    <row r="5980" spans="1:4">
      <c r="A5980" t="str">
        <f>"55046-7C903"</f>
        <v>55046-7C903</v>
      </c>
      <c r="B5980" t="str">
        <f>"BUSH-REAR SPRIN"</f>
        <v>BUSH-REAR SPRIN</v>
      </c>
      <c r="C5980">
        <v>0</v>
      </c>
      <c r="D5980">
        <v>167.28</v>
      </c>
    </row>
    <row r="5981" spans="1:4">
      <c r="A5981" t="str">
        <f>"55046-EB000"</f>
        <v>55046-EB000</v>
      </c>
      <c r="B5981" t="str">
        <f>"Сайлентблок подвески"</f>
        <v>Сайлентблок подвески</v>
      </c>
      <c r="C5981">
        <v>45</v>
      </c>
      <c r="D5981">
        <v>98.327999999999989</v>
      </c>
    </row>
    <row r="5982" spans="1:4">
      <c r="A5982" t="str">
        <f>"55046-G9600"</f>
        <v>55046-G9600</v>
      </c>
      <c r="B5982" t="str">
        <f>"BUSH SHACKLE"</f>
        <v>BUSH SHACKLE</v>
      </c>
      <c r="C5982">
        <v>22</v>
      </c>
      <c r="D5982">
        <v>202.36799999999997</v>
      </c>
    </row>
    <row r="5983" spans="1:4">
      <c r="A5983" t="str">
        <f>"55046-G9601"</f>
        <v>55046-G9601</v>
      </c>
      <c r="B5983" t="str">
        <f>"BUSH SPRING"</f>
        <v>BUSH SPRING</v>
      </c>
      <c r="C5983">
        <v>10</v>
      </c>
      <c r="D5983">
        <v>176.256</v>
      </c>
    </row>
    <row r="5984" spans="1:4">
      <c r="A5984" t="str">
        <f>"55047-EB301"</f>
        <v>55047-EB301</v>
      </c>
      <c r="B5984" t="str">
        <f>"Втулка"</f>
        <v>Втулка</v>
      </c>
      <c r="C5984">
        <v>10</v>
      </c>
      <c r="D5984">
        <v>80.376000000000005</v>
      </c>
    </row>
    <row r="5985" spans="1:4">
      <c r="A5985" t="str">
        <f>"55050-JP00A"</f>
        <v>55050-JP00A</v>
      </c>
      <c r="B5985" t="str">
        <f>"Кольцо пружины уплот"</f>
        <v>Кольцо пружины уплот</v>
      </c>
      <c r="C5985">
        <v>3</v>
      </c>
      <c r="D5985">
        <v>1131.384</v>
      </c>
    </row>
    <row r="5986" spans="1:4">
      <c r="A5986" t="str">
        <f>"55060-41G00"</f>
        <v>55060-41G00</v>
      </c>
      <c r="B5986" t="str">
        <f>"SEAL BUMPER"</f>
        <v>SEAL BUMPER</v>
      </c>
      <c r="C5986">
        <v>6</v>
      </c>
      <c r="D5986">
        <v>2228.904</v>
      </c>
    </row>
    <row r="5987" spans="1:4">
      <c r="A5987" t="str">
        <f>"55061-5V201"</f>
        <v>55061-5V201</v>
      </c>
      <c r="B5987" t="str">
        <f>"ROD"</f>
        <v>ROD</v>
      </c>
      <c r="C5987">
        <v>9</v>
      </c>
      <c r="D5987">
        <v>1742.1599999999999</v>
      </c>
    </row>
    <row r="5988" spans="1:4">
      <c r="A5988" t="str">
        <f>"55080-0W00B"</f>
        <v>55080-0W00B</v>
      </c>
      <c r="B5988" t="str">
        <f>"Болт тяги подвес"</f>
        <v>Болт тяги подвес</v>
      </c>
      <c r="C5988">
        <v>10</v>
      </c>
      <c r="D5988">
        <v>144.43199999999999</v>
      </c>
    </row>
    <row r="5989" spans="1:4">
      <c r="A5989" t="str">
        <f>"55080-2L71A"</f>
        <v>55080-2L71A</v>
      </c>
      <c r="B5989" t="str">
        <f>"Болт рычага подвески"</f>
        <v>Болт рычага подвески</v>
      </c>
      <c r="C5989">
        <v>0</v>
      </c>
      <c r="D5989">
        <v>119.544</v>
      </c>
    </row>
    <row r="5990" spans="1:4">
      <c r="A5990" t="str">
        <f>"55080-41G1A"</f>
        <v>55080-41G1A</v>
      </c>
      <c r="B5990" t="str">
        <f>"Болт рычага подвески"</f>
        <v>Болт рычага подвески</v>
      </c>
      <c r="C5990">
        <v>23</v>
      </c>
      <c r="D5990">
        <v>218.68800000000002</v>
      </c>
    </row>
    <row r="5991" spans="1:4">
      <c r="A5991" t="str">
        <f>"55080-AG00E"</f>
        <v>55080-AG00E</v>
      </c>
      <c r="B5991" t="str">
        <f>"Болт тяги подвес"</f>
        <v>Болт тяги подвес</v>
      </c>
      <c r="C5991">
        <v>33</v>
      </c>
      <c r="D5991">
        <v>148.91999999999999</v>
      </c>
    </row>
    <row r="5992" spans="1:4">
      <c r="A5992" t="str">
        <f>"55080-AL50A"</f>
        <v>55080-AL50A</v>
      </c>
      <c r="B5992" t="str">
        <f>"Болт тяги подвес"</f>
        <v>Болт тяги подвес</v>
      </c>
      <c r="C5992">
        <v>0</v>
      </c>
      <c r="D5992">
        <v>153.40799999999999</v>
      </c>
    </row>
    <row r="5993" spans="1:4">
      <c r="A5993" t="str">
        <f>"55110-3W700"</f>
        <v>55110-3W700</v>
      </c>
      <c r="B5993" t="str">
        <f>"LINK COMPL-LOWE"</f>
        <v>LINK COMPL-LOWE</v>
      </c>
      <c r="C5993">
        <v>2</v>
      </c>
      <c r="D5993">
        <v>4412.1120000000001</v>
      </c>
    </row>
    <row r="5994" spans="1:4">
      <c r="A5994" t="str">
        <f>"55110-8H505"</f>
        <v>55110-8H505</v>
      </c>
      <c r="B5994" t="str">
        <f>"ROD COMPL"</f>
        <v>ROD COMPL</v>
      </c>
      <c r="C5994">
        <v>42</v>
      </c>
      <c r="D5994">
        <v>1463.904</v>
      </c>
    </row>
    <row r="5995" spans="1:4">
      <c r="A5995" t="str">
        <f>"55110-CA000"</f>
        <v>55110-CA000</v>
      </c>
      <c r="B5995" t="str">
        <f>"Тяга задней подвески"</f>
        <v>Тяга задней подвески</v>
      </c>
      <c r="C5995">
        <v>8</v>
      </c>
      <c r="D5995">
        <v>1862.9279999999999</v>
      </c>
    </row>
    <row r="5996" spans="1:4">
      <c r="A5996" t="str">
        <f>"55110-CG000"</f>
        <v>55110-CG000</v>
      </c>
      <c r="B5996" t="str">
        <f>"ROD COMPL"</f>
        <v>ROD COMPL</v>
      </c>
      <c r="C5996">
        <v>13</v>
      </c>
      <c r="D5996">
        <v>1638.528</v>
      </c>
    </row>
    <row r="5997" spans="1:4">
      <c r="A5997" t="str">
        <f>"55110-EG000"</f>
        <v>55110-EG000</v>
      </c>
      <c r="B5997" t="str">
        <f>"Рычаг задней подвеск"</f>
        <v>Рычаг задней подвеск</v>
      </c>
      <c r="C5997">
        <v>9</v>
      </c>
      <c r="D5997">
        <v>1848.6479999999999</v>
      </c>
    </row>
    <row r="5998" spans="1:4">
      <c r="A5998" t="str">
        <f>"55110-JG000"</f>
        <v>55110-JG000</v>
      </c>
      <c r="B5998" t="str">
        <f>"Тяга задней подвески"</f>
        <v>Тяга задней подвески</v>
      </c>
      <c r="C5998">
        <v>0</v>
      </c>
      <c r="D5998">
        <v>6425.1839999999993</v>
      </c>
    </row>
    <row r="5999" spans="1:4">
      <c r="A5999" t="str">
        <f>"55110-JN00A"</f>
        <v>55110-JN00A</v>
      </c>
      <c r="B5999" t="str">
        <f>"Тяга задней подвески"</f>
        <v>Тяга задней подвески</v>
      </c>
      <c r="C5999">
        <v>1</v>
      </c>
      <c r="D5999">
        <v>1933.104</v>
      </c>
    </row>
    <row r="6000" spans="1:4">
      <c r="A6000" t="str">
        <f>"55110-VB300"</f>
        <v>55110-VB300</v>
      </c>
      <c r="B6000" t="str">
        <f>"LINK COMPL-LOWE"</f>
        <v>LINK COMPL-LOWE</v>
      </c>
      <c r="C6000">
        <v>0</v>
      </c>
      <c r="D6000">
        <v>7802.1839999999993</v>
      </c>
    </row>
    <row r="6001" spans="1:4">
      <c r="A6001" t="str">
        <f>"55110-VB900"</f>
        <v>55110-VB900</v>
      </c>
      <c r="B6001" t="str">
        <f>"LINK ASSY-LOWER"</f>
        <v>LINK ASSY-LOWER</v>
      </c>
      <c r="C6001">
        <v>3</v>
      </c>
      <c r="D6001">
        <v>8040.4560000000001</v>
      </c>
    </row>
    <row r="6002" spans="1:4">
      <c r="A6002" t="str">
        <f>"55111-JG00A"</f>
        <v>55111-JG00A</v>
      </c>
      <c r="B6002" t="str">
        <f>"Тяга задней подвески"</f>
        <v>Тяга задней подвески</v>
      </c>
      <c r="C6002">
        <v>3</v>
      </c>
      <c r="D6002">
        <v>6375.4080000000004</v>
      </c>
    </row>
    <row r="6003" spans="1:4">
      <c r="A6003" t="str">
        <f>"55111-VB900"</f>
        <v>55111-VB900</v>
      </c>
      <c r="B6003" t="str">
        <f>"LINK ASSY-LOWER"</f>
        <v>LINK ASSY-LOWER</v>
      </c>
      <c r="C6003">
        <v>1</v>
      </c>
      <c r="D6003">
        <v>7951.92</v>
      </c>
    </row>
    <row r="6004" spans="1:4">
      <c r="A6004" t="str">
        <f>"55120-2J000"</f>
        <v>55120-2J000</v>
      </c>
      <c r="B6004" t="str">
        <f>"ROD COMPL"</f>
        <v>ROD COMPL</v>
      </c>
      <c r="C6004">
        <v>5</v>
      </c>
      <c r="D6004">
        <v>1947.7919999999999</v>
      </c>
    </row>
    <row r="6005" spans="1:4">
      <c r="A6005" t="str">
        <f>"55120-2W100"</f>
        <v>55120-2W100</v>
      </c>
      <c r="B6005" t="str">
        <f>"LINK-UPPER"</f>
        <v>LINK-UPPER</v>
      </c>
      <c r="C6005">
        <v>4</v>
      </c>
      <c r="D6005">
        <v>4008.6</v>
      </c>
    </row>
    <row r="6006" spans="1:4">
      <c r="A6006" t="str">
        <f>"55120-2Y000"</f>
        <v>55120-2Y000</v>
      </c>
      <c r="B6006" t="str">
        <f>"ROD COMPL-CONTR"</f>
        <v>ROD COMPL-CONTR</v>
      </c>
      <c r="C6006">
        <v>7</v>
      </c>
      <c r="D6006">
        <v>1984.5119999999999</v>
      </c>
    </row>
    <row r="6007" spans="1:4">
      <c r="A6007" t="str">
        <f>"55120-8H500"</f>
        <v>55120-8H500</v>
      </c>
      <c r="B6007" t="str">
        <f>"LINK COMPL"</f>
        <v>LINK COMPL</v>
      </c>
      <c r="C6007">
        <v>7</v>
      </c>
      <c r="D6007">
        <v>2042.4479999999999</v>
      </c>
    </row>
    <row r="6008" spans="1:4">
      <c r="A6008" t="str">
        <f>"55120-8H505"</f>
        <v>55120-8H505</v>
      </c>
      <c r="B6008" t="str">
        <f>"LINK COMPL"</f>
        <v>LINK COMPL</v>
      </c>
      <c r="C6008">
        <v>59</v>
      </c>
      <c r="D6008">
        <v>2036.7359999999999</v>
      </c>
    </row>
    <row r="6009" spans="1:4">
      <c r="A6009" t="str">
        <f>"55120-95F0A"</f>
        <v>55120-95F0A</v>
      </c>
      <c r="B6009" t="str">
        <f>"Тяга задней подвески"</f>
        <v>Тяга задней подвески</v>
      </c>
      <c r="C6009">
        <v>3</v>
      </c>
      <c r="D6009">
        <v>2104.8719999999998</v>
      </c>
    </row>
    <row r="6010" spans="1:4">
      <c r="A6010" t="str">
        <f>"55120-AW000"</f>
        <v>55120-AW000</v>
      </c>
      <c r="B6010" t="str">
        <f>"Тяга задней подвески"</f>
        <v>Тяга задней подвески</v>
      </c>
      <c r="C6010">
        <v>4</v>
      </c>
      <c r="D6010">
        <v>3062.4479999999999</v>
      </c>
    </row>
    <row r="6011" spans="1:4">
      <c r="A6011" t="str">
        <f>"55120-BU000"</f>
        <v>55120-BU000</v>
      </c>
      <c r="B6011" t="str">
        <f>"ROD COMPL-CONTR"</f>
        <v>ROD COMPL-CONTR</v>
      </c>
      <c r="C6011">
        <v>10</v>
      </c>
      <c r="D6011">
        <v>2200.752</v>
      </c>
    </row>
    <row r="6012" spans="1:4">
      <c r="A6012" t="str">
        <f>"55120-JD000"</f>
        <v>55120-JD000</v>
      </c>
      <c r="B6012" t="str">
        <f>"Тяга задней подвески"</f>
        <v>Тяга задней подвески</v>
      </c>
      <c r="C6012">
        <v>2</v>
      </c>
      <c r="D6012">
        <v>5443.5359999999991</v>
      </c>
    </row>
    <row r="6013" spans="1:4">
      <c r="A6013" t="str">
        <f>"55120-VB022"</f>
        <v>55120-VB022</v>
      </c>
      <c r="B6013" t="str">
        <f>"LINK-UPPER"</f>
        <v>LINK-UPPER</v>
      </c>
      <c r="C6013">
        <v>0</v>
      </c>
      <c r="D6013">
        <v>4102.4399999999996</v>
      </c>
    </row>
    <row r="6014" spans="1:4">
      <c r="A6014" t="str">
        <f>"55121-8H510"</f>
        <v>55121-8H510</v>
      </c>
      <c r="B6014" t="str">
        <f>"LINK COMPL"</f>
        <v>LINK COMPL</v>
      </c>
      <c r="C6014">
        <v>7</v>
      </c>
      <c r="D6014">
        <v>2053.8719999999998</v>
      </c>
    </row>
    <row r="6015" spans="1:4">
      <c r="A6015" t="str">
        <f>"55121-EQ000"</f>
        <v>55121-EQ000</v>
      </c>
      <c r="B6015" t="str">
        <f>"LINK COMPL"</f>
        <v>LINK COMPL</v>
      </c>
      <c r="C6015">
        <v>15</v>
      </c>
      <c r="D6015">
        <v>2033.88</v>
      </c>
    </row>
    <row r="6016" spans="1:4">
      <c r="A6016" t="str">
        <f>"55121-JD000"</f>
        <v>55121-JD000</v>
      </c>
      <c r="B6016" t="str">
        <f>"Тяга задней подвески"</f>
        <v>Тяга задней подвески</v>
      </c>
      <c r="C6016">
        <v>1</v>
      </c>
      <c r="D6016">
        <v>6231.7919999999995</v>
      </c>
    </row>
    <row r="6017" spans="1:4">
      <c r="A6017" t="str">
        <f>"55130-2J010"</f>
        <v>55130-2J010</v>
      </c>
      <c r="B6017" t="str">
        <f>"LINK COMPL-LATE"</f>
        <v>LINK COMPL-LATE</v>
      </c>
      <c r="C6017">
        <v>0</v>
      </c>
      <c r="D6017">
        <v>4578.1679999999997</v>
      </c>
    </row>
    <row r="6018" spans="1:4">
      <c r="A6018" t="str">
        <f>"55130-2Y010"</f>
        <v>55130-2Y010</v>
      </c>
      <c r="B6018" t="str">
        <f>"LINK COMPL-LATE"</f>
        <v>LINK COMPL-LATE</v>
      </c>
      <c r="C6018">
        <v>1</v>
      </c>
      <c r="D6018">
        <v>4436.5919999999996</v>
      </c>
    </row>
    <row r="6019" spans="1:4">
      <c r="A6019" t="str">
        <f>"55130-2Y620"</f>
        <v>55130-2Y620</v>
      </c>
      <c r="B6019" t="str">
        <f>"LINK COMPL"</f>
        <v>LINK COMPL</v>
      </c>
      <c r="C6019">
        <v>0</v>
      </c>
      <c r="D6019">
        <v>4620.5999999999995</v>
      </c>
    </row>
    <row r="6020" spans="1:4">
      <c r="A6020" t="str">
        <f>"55130-95F0A"</f>
        <v>55130-95F0A</v>
      </c>
      <c r="B6020" t="str">
        <f>"Тяга панара"</f>
        <v>Тяга панара</v>
      </c>
      <c r="C6020">
        <v>0</v>
      </c>
      <c r="D6020">
        <v>4448.0159999999996</v>
      </c>
    </row>
    <row r="6021" spans="1:4">
      <c r="A6021" t="str">
        <f>"55130-9F505"</f>
        <v>55130-9F505</v>
      </c>
      <c r="B6021" t="str">
        <f>"LINK COMPL-LATE"</f>
        <v>LINK COMPL-LATE</v>
      </c>
      <c r="C6021">
        <v>0</v>
      </c>
      <c r="D6021">
        <v>4665.0720000000001</v>
      </c>
    </row>
    <row r="6022" spans="1:4">
      <c r="A6022" t="str">
        <f>"55130-AU001"</f>
        <v>55130-AU001</v>
      </c>
      <c r="B6022" t="str">
        <f>"LINK COMPL-LATE"</f>
        <v>LINK COMPL-LATE</v>
      </c>
      <c r="C6022">
        <v>4</v>
      </c>
      <c r="D6022">
        <v>5326.0319999999992</v>
      </c>
    </row>
    <row r="6023" spans="1:4">
      <c r="A6023" t="str">
        <f>"55130-VC000"</f>
        <v>55130-VC000</v>
      </c>
      <c r="B6023" t="str">
        <f>"ROD A-PANHARD"</f>
        <v>ROD A-PANHARD</v>
      </c>
      <c r="C6023">
        <v>1</v>
      </c>
      <c r="D6023">
        <v>5316.24</v>
      </c>
    </row>
    <row r="6024" spans="1:4">
      <c r="A6024" t="str">
        <f>"55130-VC100"</f>
        <v>55130-VC100</v>
      </c>
      <c r="B6024" t="str">
        <f>"ROD A-PANHARD"</f>
        <v>ROD A-PANHARD</v>
      </c>
      <c r="C6024">
        <v>6</v>
      </c>
      <c r="D6024">
        <v>5581.848</v>
      </c>
    </row>
    <row r="6025" spans="1:4">
      <c r="A6025" t="str">
        <f>"55130-VD300"</f>
        <v>55130-VD300</v>
      </c>
      <c r="B6025" t="str">
        <f>"Тяга панара"</f>
        <v>Тяга панара</v>
      </c>
      <c r="C6025">
        <v>0</v>
      </c>
      <c r="D6025">
        <v>4785.8399999999992</v>
      </c>
    </row>
    <row r="6026" spans="1:4">
      <c r="A6026" t="str">
        <f>"55135-01J01"</f>
        <v>55135-01J01</v>
      </c>
      <c r="B6026" t="str">
        <f>"BUSH"</f>
        <v>BUSH</v>
      </c>
      <c r="C6026">
        <v>7</v>
      </c>
      <c r="D6026">
        <v>666.67199999999991</v>
      </c>
    </row>
    <row r="6027" spans="1:4">
      <c r="A6027" t="str">
        <f>"55135-0W000"</f>
        <v>55135-0W000</v>
      </c>
      <c r="B6027" t="str">
        <f>"BUSH"</f>
        <v>BUSH</v>
      </c>
      <c r="C6027">
        <v>0</v>
      </c>
      <c r="D6027">
        <v>270.91199999999998</v>
      </c>
    </row>
    <row r="6028" spans="1:4">
      <c r="A6028" t="str">
        <f>"55135-11C00"</f>
        <v>55135-11C00</v>
      </c>
      <c r="B6028" t="str">
        <f>"BUSH"</f>
        <v>BUSH</v>
      </c>
      <c r="C6028">
        <v>6</v>
      </c>
      <c r="D6028">
        <v>354.14400000000001</v>
      </c>
    </row>
    <row r="6029" spans="1:4">
      <c r="A6029" t="str">
        <f>"55148-AL500"</f>
        <v>55148-AL500</v>
      </c>
      <c r="B6029" t="str">
        <f>"Втулка поворотного к"</f>
        <v>Втулка поворотного к</v>
      </c>
      <c r="C6029">
        <v>4</v>
      </c>
      <c r="D6029">
        <v>388.416</v>
      </c>
    </row>
    <row r="6030" spans="1:4">
      <c r="A6030" t="str">
        <f>"55148-CA000"</f>
        <v>55148-CA000</v>
      </c>
      <c r="B6030" t="str">
        <f>"Втулка поворотного к"</f>
        <v>Втулка поворотного к</v>
      </c>
      <c r="C6030">
        <v>45</v>
      </c>
      <c r="D6030">
        <v>396.16799999999995</v>
      </c>
    </row>
    <row r="6031" spans="1:4">
      <c r="A6031" t="str">
        <f>"55152-1AA0A"</f>
        <v>55152-1AA0A</v>
      </c>
      <c r="B6031" t="str">
        <f>"Втулка поворотного к"</f>
        <v>Втулка поворотного к</v>
      </c>
      <c r="C6031">
        <v>2</v>
      </c>
      <c r="D6031">
        <v>429.21600000000001</v>
      </c>
    </row>
    <row r="6032" spans="1:4">
      <c r="A6032" t="str">
        <f>"55152-51E00"</f>
        <v>55152-51E00</v>
      </c>
      <c r="B6032" t="str">
        <f>"BUSH"</f>
        <v>BUSH</v>
      </c>
      <c r="C6032">
        <v>16</v>
      </c>
      <c r="D6032">
        <v>201.55199999999999</v>
      </c>
    </row>
    <row r="6033" spans="1:4">
      <c r="A6033" t="str">
        <f>"55152-CA000"</f>
        <v>55152-CA000</v>
      </c>
      <c r="B6033" t="str">
        <f>"Втулка поворотного к"</f>
        <v>Втулка поворотного к</v>
      </c>
      <c r="C6033">
        <v>66</v>
      </c>
      <c r="D6033">
        <v>402.69599999999997</v>
      </c>
    </row>
    <row r="6034" spans="1:4">
      <c r="A6034" t="str">
        <f>"55154-0P800"</f>
        <v>55154-0P800</v>
      </c>
      <c r="B6034" t="str">
        <f>"BALL JOINT ASSY"</f>
        <v>BALL JOINT ASSY</v>
      </c>
      <c r="C6034">
        <v>8</v>
      </c>
      <c r="D6034">
        <v>1572.4319999999998</v>
      </c>
    </row>
    <row r="6035" spans="1:4">
      <c r="A6035" t="str">
        <f>"55157-7S000"</f>
        <v>55157-7S000</v>
      </c>
      <c r="B6035" t="str">
        <f>"Втулка среднего рыча"</f>
        <v>Втулка среднего рыча</v>
      </c>
      <c r="C6035">
        <v>0</v>
      </c>
      <c r="D6035">
        <v>469.2</v>
      </c>
    </row>
    <row r="6036" spans="1:4">
      <c r="A6036" t="str">
        <f>"55157-CA000"</f>
        <v>55157-CA000</v>
      </c>
      <c r="B6036" t="str">
        <f>"Втулка среднего рыча"</f>
        <v>Втулка среднего рыча</v>
      </c>
      <c r="C6036">
        <v>14</v>
      </c>
      <c r="D6036">
        <v>414.12</v>
      </c>
    </row>
    <row r="6037" spans="1:4">
      <c r="A6037" t="str">
        <f>"55157-EA501"</f>
        <v>55157-EA501</v>
      </c>
      <c r="B6037" t="str">
        <f>"Втулка среднего рыча"</f>
        <v>Втулка среднего рыча</v>
      </c>
      <c r="C6037">
        <v>14</v>
      </c>
      <c r="D6037">
        <v>585.4799999999999</v>
      </c>
    </row>
    <row r="6038" spans="1:4">
      <c r="A6038" t="str">
        <f>"55157-JF00A"</f>
        <v>55157-JF00A</v>
      </c>
      <c r="B6038" t="str">
        <f>"Втулка среднего рыча"</f>
        <v>Втулка среднего рыча</v>
      </c>
      <c r="C6038">
        <v>2</v>
      </c>
      <c r="D6038">
        <v>454.92</v>
      </c>
    </row>
    <row r="6039" spans="1:4">
      <c r="A6039" t="str">
        <f>"55166-50A0B"</f>
        <v>55166-50A0B</v>
      </c>
      <c r="B6039" t="str">
        <f>"Болт рычага подвески"</f>
        <v>Болт рычага подвески</v>
      </c>
      <c r="C6039">
        <v>10</v>
      </c>
      <c r="D6039">
        <v>279.88799999999998</v>
      </c>
    </row>
    <row r="6040" spans="1:4">
      <c r="A6040" t="str">
        <f>"55166-8H50A"</f>
        <v>55166-8H50A</v>
      </c>
      <c r="B6040" t="str">
        <f>"Болт рычага подвески"</f>
        <v>Болт рычага подвески</v>
      </c>
      <c r="C6040">
        <v>34</v>
      </c>
      <c r="D6040">
        <v>290.49599999999998</v>
      </c>
    </row>
    <row r="6041" spans="1:4">
      <c r="A6041" t="str">
        <f>"551A0-9Y00A"</f>
        <v>551A0-9Y00A</v>
      </c>
      <c r="B6041" t="str">
        <f t="shared" ref="B6041:B6046" si="113">"Тяга задней подвески"</f>
        <v>Тяга задней подвески</v>
      </c>
      <c r="C6041">
        <v>7</v>
      </c>
      <c r="D6041">
        <v>2731.56</v>
      </c>
    </row>
    <row r="6042" spans="1:4">
      <c r="A6042" t="str">
        <f>"551A0-CC40A"</f>
        <v>551A0-CC40A</v>
      </c>
      <c r="B6042" t="str">
        <f t="shared" si="113"/>
        <v>Тяга задней подвески</v>
      </c>
      <c r="C6042">
        <v>10</v>
      </c>
      <c r="D6042">
        <v>3562.6559999999999</v>
      </c>
    </row>
    <row r="6043" spans="1:4">
      <c r="A6043" t="str">
        <f>"551A0-CM80A"</f>
        <v>551A0-CM80A</v>
      </c>
      <c r="B6043" t="str">
        <f t="shared" si="113"/>
        <v>Тяга задней подвески</v>
      </c>
      <c r="C6043">
        <v>6</v>
      </c>
      <c r="D6043">
        <v>1879.2479999999998</v>
      </c>
    </row>
    <row r="6044" spans="1:4">
      <c r="A6044" t="str">
        <f>"551A0-EA500"</f>
        <v>551A0-EA500</v>
      </c>
      <c r="B6044" t="str">
        <f t="shared" si="113"/>
        <v>Тяга задней подвески</v>
      </c>
      <c r="C6044">
        <v>1</v>
      </c>
      <c r="D6044">
        <v>7544.735999999999</v>
      </c>
    </row>
    <row r="6045" spans="1:4">
      <c r="A6045" t="str">
        <f>"551A0-EB31A"</f>
        <v>551A0-EB31A</v>
      </c>
      <c r="B6045" t="str">
        <f t="shared" si="113"/>
        <v>Тяга задней подвески</v>
      </c>
      <c r="C6045">
        <v>12</v>
      </c>
      <c r="D6045">
        <v>10962.96</v>
      </c>
    </row>
    <row r="6046" spans="1:4">
      <c r="A6046" t="str">
        <f>"551A0-EG000"</f>
        <v>551A0-EG000</v>
      </c>
      <c r="B6046" t="str">
        <f t="shared" si="113"/>
        <v>Тяга задней подвески</v>
      </c>
      <c r="C6046">
        <v>8</v>
      </c>
      <c r="D6046">
        <v>1849.056</v>
      </c>
    </row>
    <row r="6047" spans="1:4">
      <c r="A6047" t="str">
        <f>"551A0-JK000"</f>
        <v>551A0-JK000</v>
      </c>
      <c r="B6047" t="str">
        <f>"Тяга подвески"</f>
        <v>Тяга подвески</v>
      </c>
      <c r="C6047">
        <v>3</v>
      </c>
      <c r="D6047">
        <v>1674.0239999999999</v>
      </c>
    </row>
    <row r="6048" spans="1:4">
      <c r="A6048" t="str">
        <f>"551A0-JN00A"</f>
        <v>551A0-JN00A</v>
      </c>
      <c r="B6048" t="str">
        <f t="shared" ref="B6048:B6056" si="114">"Тяга задней подвески"</f>
        <v>Тяга задней подвески</v>
      </c>
      <c r="C6048">
        <v>2</v>
      </c>
      <c r="D6048">
        <v>1825.8</v>
      </c>
    </row>
    <row r="6049" spans="1:4">
      <c r="A6049" t="str">
        <f>"551A0-ZQ00A"</f>
        <v>551A0-ZQ00A</v>
      </c>
      <c r="B6049" t="str">
        <f t="shared" si="114"/>
        <v>Тяга задней подвески</v>
      </c>
      <c r="C6049">
        <v>5</v>
      </c>
      <c r="D6049">
        <v>6539.424</v>
      </c>
    </row>
    <row r="6050" spans="1:4">
      <c r="A6050" t="str">
        <f>"551A1-9Y000"</f>
        <v>551A1-9Y000</v>
      </c>
      <c r="B6050" t="str">
        <f t="shared" si="114"/>
        <v>Тяга задней подвески</v>
      </c>
      <c r="C6050">
        <v>5</v>
      </c>
      <c r="D6050">
        <v>2700.5520000000001</v>
      </c>
    </row>
    <row r="6051" spans="1:4">
      <c r="A6051" t="str">
        <f>"551A1-CC40A"</f>
        <v>551A1-CC40A</v>
      </c>
      <c r="B6051" t="str">
        <f t="shared" si="114"/>
        <v>Тяга задней подвески</v>
      </c>
      <c r="C6051">
        <v>4</v>
      </c>
      <c r="D6051">
        <v>3649.152</v>
      </c>
    </row>
    <row r="6052" spans="1:4">
      <c r="A6052" t="str">
        <f>"551A1-CM80A"</f>
        <v>551A1-CM80A</v>
      </c>
      <c r="B6052" t="str">
        <f t="shared" si="114"/>
        <v>Тяга задней подвески</v>
      </c>
      <c r="C6052">
        <v>16</v>
      </c>
      <c r="D6052">
        <v>1884.5519999999999</v>
      </c>
    </row>
    <row r="6053" spans="1:4">
      <c r="A6053" t="str">
        <f>"551A1-EA500"</f>
        <v>551A1-EA500</v>
      </c>
      <c r="B6053" t="str">
        <f t="shared" si="114"/>
        <v>Тяга задней подвески</v>
      </c>
      <c r="C6053">
        <v>0</v>
      </c>
      <c r="D6053">
        <v>7503.9359999999997</v>
      </c>
    </row>
    <row r="6054" spans="1:4">
      <c r="A6054" t="str">
        <f>"551A1-EB31A"</f>
        <v>551A1-EB31A</v>
      </c>
      <c r="B6054" t="str">
        <f t="shared" si="114"/>
        <v>Тяга задней подвески</v>
      </c>
      <c r="C6054">
        <v>11</v>
      </c>
      <c r="D6054">
        <v>11056.8</v>
      </c>
    </row>
    <row r="6055" spans="1:4">
      <c r="A6055" t="str">
        <f>"551A1-ZQ00A"</f>
        <v>551A1-ZQ00A</v>
      </c>
      <c r="B6055" t="str">
        <f t="shared" si="114"/>
        <v>Тяга задней подвески</v>
      </c>
      <c r="C6055">
        <v>2</v>
      </c>
      <c r="D6055">
        <v>6769.1279999999997</v>
      </c>
    </row>
    <row r="6056" spans="1:4">
      <c r="A6056" t="str">
        <f>"551B0-7S000"</f>
        <v>551B0-7S000</v>
      </c>
      <c r="B6056" t="str">
        <f t="shared" si="114"/>
        <v>Тяга задней подвески</v>
      </c>
      <c r="C6056">
        <v>0</v>
      </c>
      <c r="D6056">
        <v>2669.136</v>
      </c>
    </row>
    <row r="6057" spans="1:4">
      <c r="A6057" t="str">
        <f>"551B0-9Y000"</f>
        <v>551B0-9Y000</v>
      </c>
      <c r="B6057" t="str">
        <f>"Рычаг задней подвеск"</f>
        <v>Рычаг задней подвеск</v>
      </c>
      <c r="C6057">
        <v>8</v>
      </c>
      <c r="D6057">
        <v>6909.0720000000001</v>
      </c>
    </row>
    <row r="6058" spans="1:4">
      <c r="A6058" t="str">
        <f>"551B0-CA000"</f>
        <v>551B0-CA000</v>
      </c>
      <c r="B6058" t="str">
        <f>"Рычаг задней подвеск"</f>
        <v>Рычаг задней подвеск</v>
      </c>
      <c r="C6058">
        <v>2</v>
      </c>
      <c r="D6058">
        <v>6753.2160000000003</v>
      </c>
    </row>
    <row r="6059" spans="1:4">
      <c r="A6059" t="str">
        <f>"551B0-CG000"</f>
        <v>551B0-CG000</v>
      </c>
      <c r="B6059" t="str">
        <f>"LINK COMP TRAN"</f>
        <v>LINK COMP TRAN</v>
      </c>
      <c r="C6059">
        <v>1</v>
      </c>
      <c r="D6059">
        <v>6726.6959999999999</v>
      </c>
    </row>
    <row r="6060" spans="1:4">
      <c r="A6060" t="str">
        <f>"551B0-EA500"</f>
        <v>551B0-EA500</v>
      </c>
      <c r="B6060" t="str">
        <f>"Тяга задней подвески"</f>
        <v>Тяга задней подвески</v>
      </c>
      <c r="C6060">
        <v>4</v>
      </c>
      <c r="D6060">
        <v>2305.1999999999998</v>
      </c>
    </row>
    <row r="6061" spans="1:4">
      <c r="A6061" t="str">
        <f>"551B0-EB300"</f>
        <v>551B0-EB300</v>
      </c>
      <c r="B6061" t="str">
        <f>"Рычаг задней подвеск"</f>
        <v>Рычаг задней подвеск</v>
      </c>
      <c r="C6061">
        <v>2</v>
      </c>
      <c r="D6061">
        <v>9223.2479999999996</v>
      </c>
    </row>
    <row r="6062" spans="1:4">
      <c r="A6062" t="str">
        <f>"551B0-EG000"</f>
        <v>551B0-EG000</v>
      </c>
      <c r="B6062" t="str">
        <f>"Тяга задней подвески"</f>
        <v>Тяга задней подвески</v>
      </c>
      <c r="C6062">
        <v>4</v>
      </c>
      <c r="D6062">
        <v>7318.7039999999997</v>
      </c>
    </row>
    <row r="6063" spans="1:4">
      <c r="A6063" t="str">
        <f>"551B0-JP00A"</f>
        <v>551B0-JP00A</v>
      </c>
      <c r="B6063" t="str">
        <f>"Тяга задней подвески"</f>
        <v>Тяга задней подвески</v>
      </c>
      <c r="C6063">
        <v>2</v>
      </c>
      <c r="D6063">
        <v>7906.2240000000002</v>
      </c>
    </row>
    <row r="6064" spans="1:4">
      <c r="A6064" t="str">
        <f>"55203-V3300"</f>
        <v>55203-V3300</v>
      </c>
      <c r="B6064" t="str">
        <f>"Кронштейн подвес"</f>
        <v>Кронштейн подвес</v>
      </c>
      <c r="C6064">
        <v>1</v>
      </c>
      <c r="D6064">
        <v>1951.8719999999998</v>
      </c>
    </row>
    <row r="6065" spans="1:4">
      <c r="A6065" t="str">
        <f>"55226-0C700"</f>
        <v>55226-0C700</v>
      </c>
      <c r="B6065" t="str">
        <f>"BOLT"</f>
        <v>BOLT</v>
      </c>
      <c r="C6065">
        <v>0</v>
      </c>
      <c r="D6065">
        <v>268.87200000000001</v>
      </c>
    </row>
    <row r="6066" spans="1:4">
      <c r="A6066" t="str">
        <f>"55226-50Y0A"</f>
        <v>55226-50Y0A</v>
      </c>
      <c r="B6066" t="str">
        <f t="shared" ref="B6066:B6075" si="115">"Болт рычага подвески"</f>
        <v>Болт рычага подвески</v>
      </c>
      <c r="C6066">
        <v>0</v>
      </c>
      <c r="D6066">
        <v>237.45599999999999</v>
      </c>
    </row>
    <row r="6067" spans="1:4">
      <c r="A6067" t="str">
        <f>"55226-7S001"</f>
        <v>55226-7S001</v>
      </c>
      <c r="B6067" t="str">
        <f t="shared" si="115"/>
        <v>Болт рычага подвески</v>
      </c>
      <c r="C6067">
        <v>46</v>
      </c>
      <c r="D6067">
        <v>237.04799999999997</v>
      </c>
    </row>
    <row r="6068" spans="1:4">
      <c r="A6068" t="str">
        <f>"55226-7S00B"</f>
        <v>55226-7S00B</v>
      </c>
      <c r="B6068" t="str">
        <f t="shared" si="115"/>
        <v>Болт рычага подвески</v>
      </c>
      <c r="C6068">
        <v>44</v>
      </c>
      <c r="D6068">
        <v>223.99199999999999</v>
      </c>
    </row>
    <row r="6069" spans="1:4">
      <c r="A6069" t="str">
        <f>"55226-AG01A"</f>
        <v>55226-AG01A</v>
      </c>
      <c r="B6069" t="str">
        <f t="shared" si="115"/>
        <v>Болт рычага подвески</v>
      </c>
      <c r="C6069">
        <v>47</v>
      </c>
      <c r="D6069">
        <v>215.83200000000002</v>
      </c>
    </row>
    <row r="6070" spans="1:4">
      <c r="A6070" t="str">
        <f>"55226-CA00A"</f>
        <v>55226-CA00A</v>
      </c>
      <c r="B6070" t="str">
        <f t="shared" si="115"/>
        <v>Болт рычага подвески</v>
      </c>
      <c r="C6070">
        <v>41</v>
      </c>
      <c r="D6070">
        <v>226.43999999999997</v>
      </c>
    </row>
    <row r="6071" spans="1:4">
      <c r="A6071" t="str">
        <f>"55226-CG00A"</f>
        <v>55226-CG00A</v>
      </c>
      <c r="B6071" t="str">
        <f t="shared" si="115"/>
        <v>Болт рычага подвески</v>
      </c>
      <c r="C6071">
        <v>14</v>
      </c>
      <c r="D6071">
        <v>215.83200000000002</v>
      </c>
    </row>
    <row r="6072" spans="1:4">
      <c r="A6072" t="str">
        <f>"55226-CG01A"</f>
        <v>55226-CG01A</v>
      </c>
      <c r="B6072" t="str">
        <f t="shared" si="115"/>
        <v>Болт рычага подвески</v>
      </c>
      <c r="C6072">
        <v>12</v>
      </c>
      <c r="D6072">
        <v>222.36</v>
      </c>
    </row>
    <row r="6073" spans="1:4">
      <c r="A6073" t="str">
        <f>"55226-EN10B"</f>
        <v>55226-EN10B</v>
      </c>
      <c r="B6073" t="str">
        <f t="shared" si="115"/>
        <v>Болт рычага подвески</v>
      </c>
      <c r="C6073">
        <v>0</v>
      </c>
      <c r="D6073">
        <v>223.58399999999997</v>
      </c>
    </row>
    <row r="6074" spans="1:4">
      <c r="A6074" t="str">
        <f>"55226-JA01C"</f>
        <v>55226-JA01C</v>
      </c>
      <c r="B6074" t="str">
        <f t="shared" si="115"/>
        <v>Болт рычага подвески</v>
      </c>
      <c r="C6074">
        <v>36</v>
      </c>
      <c r="D6074">
        <v>221.952</v>
      </c>
    </row>
    <row r="6075" spans="1:4">
      <c r="A6075" t="str">
        <f>"55226-JG00B"</f>
        <v>55226-JG00B</v>
      </c>
      <c r="B6075" t="str">
        <f t="shared" si="115"/>
        <v>Болт рычага подвески</v>
      </c>
      <c r="C6075">
        <v>0</v>
      </c>
      <c r="D6075">
        <v>246.024</v>
      </c>
    </row>
    <row r="6076" spans="1:4">
      <c r="A6076" t="str">
        <f>"55227-50Y0A"</f>
        <v>55227-50Y0A</v>
      </c>
      <c r="B6076" t="str">
        <f>"Шайба регулировочная"</f>
        <v>Шайба регулировочная</v>
      </c>
      <c r="C6076">
        <v>0</v>
      </c>
      <c r="D6076">
        <v>82.416000000000011</v>
      </c>
    </row>
    <row r="6077" spans="1:4">
      <c r="A6077" t="str">
        <f>"55227-8J00A"</f>
        <v>55227-8J00A</v>
      </c>
      <c r="B6077" t="str">
        <f>"Шайба регулировочная"</f>
        <v>Шайба регулировочная</v>
      </c>
      <c r="C6077">
        <v>7</v>
      </c>
      <c r="D6077">
        <v>228.48</v>
      </c>
    </row>
    <row r="6078" spans="1:4">
      <c r="A6078" t="str">
        <f>"55240-0M010"</f>
        <v>55240-0M010</v>
      </c>
      <c r="B6078" t="str">
        <f t="shared" ref="B6078:B6084" si="116">"BUMPER-SUSPENS"</f>
        <v>BUMPER-SUSPENS</v>
      </c>
      <c r="C6078">
        <v>1</v>
      </c>
      <c r="D6078">
        <v>1347.2160000000001</v>
      </c>
    </row>
    <row r="6079" spans="1:4">
      <c r="A6079" t="str">
        <f>"55240-0M315"</f>
        <v>55240-0M315</v>
      </c>
      <c r="B6079" t="str">
        <f t="shared" si="116"/>
        <v>BUMPER-SUSPENS</v>
      </c>
      <c r="C6079">
        <v>13</v>
      </c>
      <c r="D6079">
        <v>1218.6959999999999</v>
      </c>
    </row>
    <row r="6080" spans="1:4">
      <c r="A6080" t="str">
        <f>"55240-0W010"</f>
        <v>55240-0W010</v>
      </c>
      <c r="B6080" t="str">
        <f t="shared" si="116"/>
        <v>BUMPER-SUSPENS</v>
      </c>
      <c r="C6080">
        <v>6</v>
      </c>
      <c r="D6080">
        <v>1352.5199999999998</v>
      </c>
    </row>
    <row r="6081" spans="1:4">
      <c r="A6081" t="str">
        <f>"55240-2Y000"</f>
        <v>55240-2Y000</v>
      </c>
      <c r="B6081" t="str">
        <f t="shared" si="116"/>
        <v>BUMPER-SUSPENS</v>
      </c>
      <c r="C6081">
        <v>13</v>
      </c>
      <c r="D6081">
        <v>1402.2959999999998</v>
      </c>
    </row>
    <row r="6082" spans="1:4">
      <c r="A6082" t="str">
        <f>"55240-4U000"</f>
        <v>55240-4U000</v>
      </c>
      <c r="B6082" t="str">
        <f t="shared" si="116"/>
        <v>BUMPER-SUSPENS</v>
      </c>
      <c r="C6082">
        <v>187</v>
      </c>
      <c r="D6082">
        <v>837.62399999999991</v>
      </c>
    </row>
    <row r="6083" spans="1:4">
      <c r="A6083" t="str">
        <f>"55240-58C00"</f>
        <v>55240-58C00</v>
      </c>
      <c r="B6083" t="str">
        <f t="shared" si="116"/>
        <v>BUMPER-SUSPENS</v>
      </c>
      <c r="C6083">
        <v>2</v>
      </c>
      <c r="D6083">
        <v>898.00800000000004</v>
      </c>
    </row>
    <row r="6084" spans="1:4">
      <c r="A6084" t="str">
        <f>"55240-8H500"</f>
        <v>55240-8H500</v>
      </c>
      <c r="B6084" t="str">
        <f t="shared" si="116"/>
        <v>BUMPER-SUSPENS</v>
      </c>
      <c r="C6084">
        <v>27</v>
      </c>
      <c r="D6084">
        <v>1615.2719999999999</v>
      </c>
    </row>
    <row r="6085" spans="1:4">
      <c r="A6085" t="str">
        <f>"55240-9N00A"</f>
        <v>55240-9N00A</v>
      </c>
      <c r="B6085" t="str">
        <f>"Пыльник отбойник"</f>
        <v>Пыльник отбойник</v>
      </c>
      <c r="C6085">
        <v>8</v>
      </c>
      <c r="D6085">
        <v>1540.6079999999999</v>
      </c>
    </row>
    <row r="6086" spans="1:4">
      <c r="A6086" t="str">
        <f>"55240-9Y000"</f>
        <v>55240-9Y000</v>
      </c>
      <c r="B6086" t="str">
        <f>"Пыльник-отбойник амо"</f>
        <v>Пыльник-отбойник амо</v>
      </c>
      <c r="C6086">
        <v>10</v>
      </c>
      <c r="D6086">
        <v>1687.896</v>
      </c>
    </row>
    <row r="6087" spans="1:4">
      <c r="A6087" t="str">
        <f>"55240-AD010"</f>
        <v>55240-AD010</v>
      </c>
      <c r="B6087" t="str">
        <f>"BUMPER-SUSPENS"</f>
        <v>BUMPER-SUSPENS</v>
      </c>
      <c r="C6087">
        <v>22</v>
      </c>
      <c r="D6087">
        <v>1953.5039999999999</v>
      </c>
    </row>
    <row r="6088" spans="1:4">
      <c r="A6088" t="str">
        <f>"55240-AX601"</f>
        <v>55240-AX601</v>
      </c>
      <c r="B6088" t="str">
        <f>"BUMPER ASSY-BOU"</f>
        <v>BUMPER ASSY-BOU</v>
      </c>
      <c r="C6088">
        <v>37</v>
      </c>
      <c r="D6088">
        <v>1102.4159999999999</v>
      </c>
    </row>
    <row r="6089" spans="1:4">
      <c r="A6089" t="str">
        <f>"55240-BA000"</f>
        <v>55240-BA000</v>
      </c>
      <c r="B6089" t="str">
        <f>"BUMPER ASSY-BOU"</f>
        <v>BUMPER ASSY-BOU</v>
      </c>
      <c r="C6089">
        <v>8</v>
      </c>
      <c r="D6089">
        <v>1108.5359999999998</v>
      </c>
    </row>
    <row r="6090" spans="1:4">
      <c r="A6090" t="str">
        <f>"55240-CG020"</f>
        <v>55240-CG020</v>
      </c>
      <c r="B6090" t="str">
        <f>"BUMPER-SUSPENS"</f>
        <v>BUMPER-SUSPENS</v>
      </c>
      <c r="C6090">
        <v>23</v>
      </c>
      <c r="D6090">
        <v>1687.0800000000002</v>
      </c>
    </row>
    <row r="6091" spans="1:4">
      <c r="A6091" t="str">
        <f>"55240-WA000"</f>
        <v>55240-WA000</v>
      </c>
      <c r="B6091" t="str">
        <f>"Пыльник-отбойник амо"</f>
        <v>Пыльник-отбойник амо</v>
      </c>
      <c r="C6091">
        <v>5</v>
      </c>
      <c r="D6091">
        <v>1718.4959999999999</v>
      </c>
    </row>
    <row r="6092" spans="1:4">
      <c r="A6092" t="str">
        <f>"55241-0E501"</f>
        <v>55241-0E501</v>
      </c>
      <c r="B6092" t="str">
        <f>"BUMPER"</f>
        <v>BUMPER</v>
      </c>
      <c r="C6092">
        <v>6</v>
      </c>
      <c r="D6092">
        <v>860.88</v>
      </c>
    </row>
    <row r="6093" spans="1:4">
      <c r="A6093" t="str">
        <f>"55248-2Y00A"</f>
        <v>55248-2Y00A</v>
      </c>
      <c r="B6093" t="str">
        <f>"Крышка пыльника амор"</f>
        <v>Крышка пыльника амор</v>
      </c>
      <c r="C6093">
        <v>37</v>
      </c>
      <c r="D6093">
        <v>263.56799999999998</v>
      </c>
    </row>
    <row r="6094" spans="1:4">
      <c r="A6094" t="str">
        <f>"55248-CA00A"</f>
        <v>55248-CA00A</v>
      </c>
      <c r="B6094" t="str">
        <f>"Крышка отбойника"</f>
        <v>Крышка отбойника</v>
      </c>
      <c r="C6094">
        <v>6</v>
      </c>
      <c r="D6094">
        <v>281.52</v>
      </c>
    </row>
    <row r="6095" spans="1:4">
      <c r="A6095" t="str">
        <f>"55264-8H50A"</f>
        <v>55264-8H50A</v>
      </c>
      <c r="B6095" t="str">
        <f>"Чашка пружины подвес"</f>
        <v>Чашка пружины подвес</v>
      </c>
      <c r="C6095">
        <v>6</v>
      </c>
      <c r="D6095">
        <v>950.64</v>
      </c>
    </row>
    <row r="6096" spans="1:4">
      <c r="A6096" t="str">
        <f>"55265-8H50A"</f>
        <v>55265-8H50A</v>
      </c>
      <c r="B6096" t="str">
        <f>"Чашка пружины подвес"</f>
        <v>Чашка пружины подвес</v>
      </c>
      <c r="C6096">
        <v>6</v>
      </c>
      <c r="D6096">
        <v>971.44799999999987</v>
      </c>
    </row>
    <row r="6097" spans="1:4">
      <c r="A6097" t="str">
        <f>"55269-AG00E"</f>
        <v>55269-AG00E</v>
      </c>
      <c r="B6097" t="str">
        <f>"Гайка крепежная"</f>
        <v>Гайка крепежная</v>
      </c>
      <c r="C6097">
        <v>8</v>
      </c>
      <c r="D6097">
        <v>62.015999999999998</v>
      </c>
    </row>
    <row r="6098" spans="1:4">
      <c r="A6098" t="str">
        <f>"55302-EQ026"</f>
        <v>55302-EQ026</v>
      </c>
      <c r="B6098" t="str">
        <f>"Стойка амортизаторна"</f>
        <v>Стойка амортизаторна</v>
      </c>
      <c r="C6098">
        <v>0</v>
      </c>
      <c r="D6098">
        <v>7771.1759999999995</v>
      </c>
    </row>
    <row r="6099" spans="1:4">
      <c r="A6099" t="str">
        <f>"55303-EQ026"</f>
        <v>55303-EQ026</v>
      </c>
      <c r="B6099" t="str">
        <f>"Стойка амортизаторна"</f>
        <v>Стойка амортизаторна</v>
      </c>
      <c r="C6099">
        <v>9</v>
      </c>
      <c r="D6099">
        <v>7534.5359999999991</v>
      </c>
    </row>
    <row r="6100" spans="1:4">
      <c r="A6100" t="str">
        <f>"55320-2F000"</f>
        <v>55320-2F000</v>
      </c>
      <c r="B6100" t="str">
        <f>"INSULATOR ASSY"</f>
        <v>INSULATOR ASSY</v>
      </c>
      <c r="C6100">
        <v>26</v>
      </c>
      <c r="D6100">
        <v>2478.1919999999996</v>
      </c>
    </row>
    <row r="6101" spans="1:4">
      <c r="A6101" t="str">
        <f>"55320-2Y00A"</f>
        <v>55320-2Y00A</v>
      </c>
      <c r="B6101" t="str">
        <f>"Опора амортизато"</f>
        <v>Опора амортизато</v>
      </c>
      <c r="C6101">
        <v>0</v>
      </c>
      <c r="D6101">
        <v>1691.568</v>
      </c>
    </row>
    <row r="6102" spans="1:4">
      <c r="A6102" t="str">
        <f>"55320-95F0A"</f>
        <v>55320-95F0A</v>
      </c>
      <c r="B6102" t="str">
        <f>"Опора амортизато"</f>
        <v>Опора амортизато</v>
      </c>
      <c r="C6102">
        <v>8</v>
      </c>
      <c r="D6102">
        <v>1780.5119999999999</v>
      </c>
    </row>
    <row r="6103" spans="1:4">
      <c r="A6103" t="str">
        <f>"55320-BM400"</f>
        <v>55320-BM400</v>
      </c>
      <c r="B6103" t="str">
        <f>"INSULATOR ASSY-"</f>
        <v>INSULATOR ASSY-</v>
      </c>
      <c r="C6103">
        <v>0</v>
      </c>
      <c r="D6103">
        <v>2211.3599999999997</v>
      </c>
    </row>
    <row r="6104" spans="1:4">
      <c r="A6104" t="str">
        <f>"55322-31U10"</f>
        <v>55322-31U10</v>
      </c>
      <c r="B6104" t="str">
        <f>"BRACKET ASSY"</f>
        <v>BRACKET ASSY</v>
      </c>
      <c r="C6104">
        <v>16</v>
      </c>
      <c r="D6104">
        <v>1175.856</v>
      </c>
    </row>
    <row r="6105" spans="1:4">
      <c r="A6105" t="str">
        <f>"55322-CA000"</f>
        <v>55322-CA000</v>
      </c>
      <c r="B6105" t="str">
        <f>"Кронштейн опоры амор"</f>
        <v>Кронштейн опоры амор</v>
      </c>
      <c r="C6105">
        <v>2</v>
      </c>
      <c r="D6105">
        <v>1088.5439999999999</v>
      </c>
    </row>
    <row r="6106" spans="1:4">
      <c r="A6106" t="str">
        <f>"55336-CG020"</f>
        <v>55336-CG020</v>
      </c>
      <c r="B6106" t="str">
        <f>"КРОНШТЕЙН"</f>
        <v>КРОНШТЕЙН</v>
      </c>
      <c r="C6106">
        <v>0</v>
      </c>
      <c r="D6106">
        <v>981.64799999999991</v>
      </c>
    </row>
    <row r="6107" spans="1:4">
      <c r="A6107" t="str">
        <f>"55337-CG020"</f>
        <v>55337-CG020</v>
      </c>
      <c r="B6107" t="str">
        <f>"Кронштейн"</f>
        <v>Кронштейн</v>
      </c>
      <c r="C6107">
        <v>0</v>
      </c>
      <c r="D6107">
        <v>992.66399999999999</v>
      </c>
    </row>
    <row r="6108" spans="1:4">
      <c r="A6108" t="str">
        <f>"55419-8H501"</f>
        <v>55419-8H501</v>
      </c>
      <c r="B6108" t="str">
        <f>"BRACKET ASSY"</f>
        <v>BRACKET ASSY</v>
      </c>
      <c r="C6108">
        <v>4</v>
      </c>
      <c r="D6108">
        <v>3165.2639999999997</v>
      </c>
    </row>
    <row r="6109" spans="1:4">
      <c r="A6109" t="str">
        <f>"55470-EB300"</f>
        <v>55470-EB300</v>
      </c>
      <c r="B6109" t="str">
        <f>"Подушка заднего дифф"</f>
        <v>Подушка заднего дифф</v>
      </c>
      <c r="C6109">
        <v>0</v>
      </c>
      <c r="D6109">
        <v>1180.752</v>
      </c>
    </row>
    <row r="6110" spans="1:4">
      <c r="A6110" t="str">
        <f>"55479-7S010"</f>
        <v>55479-7S010</v>
      </c>
      <c r="B6110" t="str">
        <f>"Болт амортизатор"</f>
        <v>Болт амортизатор</v>
      </c>
      <c r="C6110">
        <v>7</v>
      </c>
      <c r="D6110">
        <v>139.12799999999999</v>
      </c>
    </row>
    <row r="6111" spans="1:4">
      <c r="A6111" t="str">
        <f>"55501-6Y300"</f>
        <v>55501-6Y300</v>
      </c>
      <c r="B6111" t="str">
        <f>"BEAM"</f>
        <v>BEAM</v>
      </c>
      <c r="C6111">
        <v>5</v>
      </c>
      <c r="D6111">
        <v>29926.799999999999</v>
      </c>
    </row>
    <row r="6112" spans="1:4">
      <c r="A6112" t="str">
        <f>"55501-95F0A"</f>
        <v>55501-95F0A</v>
      </c>
      <c r="B6112" t="str">
        <f>"Балка заднего мо"</f>
        <v>Балка заднего мо</v>
      </c>
      <c r="C6112">
        <v>3</v>
      </c>
      <c r="D6112">
        <v>22498.343999999997</v>
      </c>
    </row>
    <row r="6113" spans="1:4">
      <c r="A6113" t="str">
        <f>"55501-BC63B"</f>
        <v>55501-BC63B</v>
      </c>
      <c r="B6113" t="str">
        <f>"Балка заднего мо"</f>
        <v>Балка заднего мо</v>
      </c>
      <c r="C6113">
        <v>3</v>
      </c>
      <c r="D6113">
        <v>25692.984</v>
      </c>
    </row>
    <row r="6114" spans="1:4">
      <c r="A6114" t="str">
        <f>"55501-BC64B"</f>
        <v>55501-BC64B</v>
      </c>
      <c r="B6114" t="str">
        <f>"Балка заднего мо"</f>
        <v>Балка заднего мо</v>
      </c>
      <c r="C6114">
        <v>5</v>
      </c>
      <c r="D6114">
        <v>26222.16</v>
      </c>
    </row>
    <row r="6115" spans="1:4">
      <c r="A6115" t="str">
        <f>"55501-CG000"</f>
        <v>55501-CG000</v>
      </c>
      <c r="B6115" t="str">
        <f>"Рычаг задний ниж"</f>
        <v>Рычаг задний ниж</v>
      </c>
      <c r="C6115">
        <v>6</v>
      </c>
      <c r="D6115">
        <v>9747.9359999999997</v>
      </c>
    </row>
    <row r="6116" spans="1:4">
      <c r="A6116" t="str">
        <f>"55501-EA500"</f>
        <v>55501-EA500</v>
      </c>
      <c r="B6116" t="str">
        <f>"Рычаг задний ниж"</f>
        <v>Рычаг задний ниж</v>
      </c>
      <c r="C6116">
        <v>0</v>
      </c>
      <c r="D6116">
        <v>5610</v>
      </c>
    </row>
    <row r="6117" spans="1:4">
      <c r="A6117" t="str">
        <f>"55501-EB31A"</f>
        <v>55501-EB31A</v>
      </c>
      <c r="B6117" t="str">
        <f>"Рычаг задней подвеск"</f>
        <v>Рычаг задней подвеск</v>
      </c>
      <c r="C6117">
        <v>0</v>
      </c>
      <c r="D6117">
        <v>9559.0319999999992</v>
      </c>
    </row>
    <row r="6118" spans="1:4">
      <c r="A6118" t="str">
        <f>"55501-EG00A"</f>
        <v>55501-EG00A</v>
      </c>
      <c r="B6118" t="str">
        <f>"Рычаг задний лев"</f>
        <v>Рычаг задний лев</v>
      </c>
      <c r="C6118">
        <v>2</v>
      </c>
      <c r="D6118">
        <v>8766.2879999999986</v>
      </c>
    </row>
    <row r="6119" spans="1:4">
      <c r="A6119" t="str">
        <f>"55501-EM10B"</f>
        <v>55501-EM10B</v>
      </c>
      <c r="B6119" t="str">
        <f>"Балка заднего мо"</f>
        <v>Балка заднего мо</v>
      </c>
      <c r="C6119">
        <v>2</v>
      </c>
      <c r="D6119">
        <v>24254.376</v>
      </c>
    </row>
    <row r="6120" spans="1:4">
      <c r="A6120" t="str">
        <f>"55501-JG000"</f>
        <v>55501-JG000</v>
      </c>
      <c r="B6120" t="str">
        <f>"Рычаг задний ниж"</f>
        <v>Рычаг задний ниж</v>
      </c>
      <c r="C6120">
        <v>5</v>
      </c>
      <c r="D6120">
        <v>15465.648000000001</v>
      </c>
    </row>
    <row r="6121" spans="1:4">
      <c r="A6121" t="str">
        <f>"55502-CG000"</f>
        <v>55502-CG000</v>
      </c>
      <c r="B6121" t="str">
        <f>"Рычаг задний ниж"</f>
        <v>Рычаг задний ниж</v>
      </c>
      <c r="C6121">
        <v>2</v>
      </c>
      <c r="D6121">
        <v>9896.0400000000009</v>
      </c>
    </row>
    <row r="6122" spans="1:4">
      <c r="A6122" t="str">
        <f>"55502-EA500"</f>
        <v>55502-EA500</v>
      </c>
      <c r="B6122" t="str">
        <f>"Рычаг задний ниж"</f>
        <v>Рычаг задний ниж</v>
      </c>
      <c r="C6122">
        <v>0</v>
      </c>
      <c r="D6122">
        <v>4601.8320000000003</v>
      </c>
    </row>
    <row r="6123" spans="1:4">
      <c r="A6123" t="str">
        <f>"55502-EB31A"</f>
        <v>55502-EB31A</v>
      </c>
      <c r="B6123" t="str">
        <f>"Рычаг задней подвеск"</f>
        <v>Рычаг задней подвеск</v>
      </c>
      <c r="C6123">
        <v>8</v>
      </c>
      <c r="D6123">
        <v>10073.52</v>
      </c>
    </row>
    <row r="6124" spans="1:4">
      <c r="A6124" t="str">
        <f>"55502-EG00A"</f>
        <v>55502-EG00A</v>
      </c>
      <c r="B6124" t="str">
        <f>"Рычаг заднего мо"</f>
        <v>Рычаг заднего мо</v>
      </c>
      <c r="C6124">
        <v>4</v>
      </c>
      <c r="D6124">
        <v>7686.3119999999999</v>
      </c>
    </row>
    <row r="6125" spans="1:4">
      <c r="A6125" t="str">
        <f>"55502-JG000"</f>
        <v>55502-JG000</v>
      </c>
      <c r="B6125" t="str">
        <f>"Рычаг задний ниж"</f>
        <v>Рычаг задний ниж</v>
      </c>
      <c r="C6125">
        <v>6</v>
      </c>
      <c r="D6125">
        <v>14923.008</v>
      </c>
    </row>
    <row r="6126" spans="1:4">
      <c r="A6126" t="str">
        <f>"55618-JD00A"</f>
        <v>55618-JD00A</v>
      </c>
      <c r="B6126" t="str">
        <f>"Тяга стабилизато"</f>
        <v>Тяга стабилизато</v>
      </c>
      <c r="C6126">
        <v>44</v>
      </c>
      <c r="D6126">
        <v>1665.048</v>
      </c>
    </row>
    <row r="6127" spans="1:4">
      <c r="A6127" t="str">
        <f>"55619-JD00A"</f>
        <v>55619-JD00A</v>
      </c>
      <c r="B6127" t="str">
        <f>"Тяга стабилизато"</f>
        <v>Тяга стабилизато</v>
      </c>
      <c r="C6127">
        <v>8</v>
      </c>
      <c r="D6127">
        <v>1580.184</v>
      </c>
    </row>
    <row r="6128" spans="1:4">
      <c r="A6128" t="str">
        <f>"56100-EB34E"</f>
        <v>56100-EB34E</v>
      </c>
      <c r="B6128" t="str">
        <f>"Амортизатор с пружин"</f>
        <v>Амортизатор с пружин</v>
      </c>
      <c r="C6128">
        <v>0</v>
      </c>
      <c r="D6128">
        <v>5852.3519999999999</v>
      </c>
    </row>
    <row r="6129" spans="1:4">
      <c r="A6129" t="str">
        <f>"56100-EB39C"</f>
        <v>56100-EB39C</v>
      </c>
      <c r="B6129" t="str">
        <f>"Амортизатор с пружин"</f>
        <v>Амортизатор с пружин</v>
      </c>
      <c r="C6129">
        <v>3</v>
      </c>
      <c r="D6129">
        <v>6494.9520000000002</v>
      </c>
    </row>
    <row r="6130" spans="1:4">
      <c r="A6130" t="str">
        <f>"56100-EB39D"</f>
        <v>56100-EB39D</v>
      </c>
      <c r="B6130" t="str">
        <f>"Амортизатор с пружин"</f>
        <v>Амортизатор с пружин</v>
      </c>
      <c r="C6130">
        <v>41</v>
      </c>
      <c r="D6130">
        <v>5856.8399999999992</v>
      </c>
    </row>
    <row r="6131" spans="1:4">
      <c r="A6131" t="str">
        <f>"56100-MB20A"</f>
        <v>56100-MB20A</v>
      </c>
      <c r="B6131" t="str">
        <f>"Амортизатор подвески"</f>
        <v>Амортизатор подвески</v>
      </c>
      <c r="C6131">
        <v>0</v>
      </c>
      <c r="D6131">
        <v>2853.1439999999998</v>
      </c>
    </row>
    <row r="6132" spans="1:4">
      <c r="A6132" t="str">
        <f>"56110-01JXE"</f>
        <v>56110-01JXE</v>
      </c>
      <c r="B6132" t="str">
        <f>"Амортизатор передний"</f>
        <v>Амортизатор передний</v>
      </c>
      <c r="C6132">
        <v>0</v>
      </c>
      <c r="D6132">
        <v>1964.5199999999998</v>
      </c>
    </row>
    <row r="6133" spans="1:4">
      <c r="A6133" t="str">
        <f>"56110-18N25"</f>
        <v>56110-18N25</v>
      </c>
      <c r="B6133" t="str">
        <f>"Амортизатор передний"</f>
        <v>Амортизатор передний</v>
      </c>
      <c r="C6133">
        <v>3</v>
      </c>
      <c r="D6133">
        <v>1808.664</v>
      </c>
    </row>
    <row r="6134" spans="1:4">
      <c r="A6134" t="str">
        <f>"56110-3S5XE"</f>
        <v>56110-3S5XE</v>
      </c>
      <c r="B6134" t="str">
        <f>"Амортизатор передний"</f>
        <v>Амортизатор передний</v>
      </c>
      <c r="C6134">
        <v>2</v>
      </c>
      <c r="D6134">
        <v>1148.1119999999999</v>
      </c>
    </row>
    <row r="6135" spans="1:4">
      <c r="A6135" t="str">
        <f>"56110-7S626"</f>
        <v>56110-7S626</v>
      </c>
      <c r="B6135" t="str">
        <f>"Амортизатор передний"</f>
        <v>Амортизатор передний</v>
      </c>
      <c r="C6135">
        <v>1</v>
      </c>
      <c r="D6135">
        <v>4485.1439999999993</v>
      </c>
    </row>
    <row r="6136" spans="1:4">
      <c r="A6136" t="str">
        <f>"56110-VB0XF"</f>
        <v>56110-VB0XF</v>
      </c>
      <c r="B6136" t="str">
        <f>"Амортизатор передний"</f>
        <v>Амортизатор передний</v>
      </c>
      <c r="C6136">
        <v>11</v>
      </c>
      <c r="D6136">
        <v>2822.5439999999999</v>
      </c>
    </row>
    <row r="6137" spans="1:4">
      <c r="A6137" t="str">
        <f>"56112-50Y00"</f>
        <v>56112-50Y00</v>
      </c>
      <c r="B6137" t="str">
        <f>"BUSHING RUBBER"</f>
        <v>BUSHING RUBBER</v>
      </c>
      <c r="C6137">
        <v>0</v>
      </c>
      <c r="D6137">
        <v>119.544</v>
      </c>
    </row>
    <row r="6138" spans="1:4">
      <c r="A6138" t="str">
        <f>"56112-58Y00"</f>
        <v>56112-58Y00</v>
      </c>
      <c r="B6138" t="str">
        <f>"BUSH RUBBER"</f>
        <v>BUSH RUBBER</v>
      </c>
      <c r="C6138">
        <v>20</v>
      </c>
      <c r="D6138">
        <v>126.48</v>
      </c>
    </row>
    <row r="6139" spans="1:4">
      <c r="A6139" t="str">
        <f>"56112-V0100"</f>
        <v>56112-V0100</v>
      </c>
      <c r="B6139" t="str">
        <f>"BUSHING-STABI"</f>
        <v>BUSHING-STABI</v>
      </c>
      <c r="C6139">
        <v>47</v>
      </c>
      <c r="D6139">
        <v>52.224000000000004</v>
      </c>
    </row>
    <row r="6140" spans="1:4">
      <c r="A6140" t="str">
        <f>"56112-VB000"</f>
        <v>56112-VB000</v>
      </c>
      <c r="B6140" t="str">
        <f>"BUSH"</f>
        <v>BUSH</v>
      </c>
      <c r="C6140">
        <v>14</v>
      </c>
      <c r="D6140">
        <v>121.99199999999999</v>
      </c>
    </row>
    <row r="6141" spans="1:4">
      <c r="A6141" t="str">
        <f>"56113-4U00A"</f>
        <v>56113-4U00A</v>
      </c>
      <c r="B6141" t="str">
        <f>"Шайба стойки стабили"</f>
        <v>Шайба стойки стабили</v>
      </c>
      <c r="C6141">
        <v>0</v>
      </c>
      <c r="D6141">
        <v>46.103999999999999</v>
      </c>
    </row>
    <row r="6142" spans="1:4">
      <c r="A6142" t="str">
        <f>"56113-50Y0A"</f>
        <v>56113-50Y0A</v>
      </c>
      <c r="B6142" t="str">
        <f>"Шайба стойки стабили"</f>
        <v>Шайба стойки стабили</v>
      </c>
      <c r="C6142">
        <v>33</v>
      </c>
      <c r="D6142">
        <v>67.727999999999994</v>
      </c>
    </row>
    <row r="6143" spans="1:4">
      <c r="A6143" t="str">
        <f>"56113-60U0A"</f>
        <v>56113-60U0A</v>
      </c>
      <c r="B6143" t="str">
        <f>"Шайба стойки стабили"</f>
        <v>Шайба стойки стабили</v>
      </c>
      <c r="C6143">
        <v>103</v>
      </c>
      <c r="D6143">
        <v>43.655999999999999</v>
      </c>
    </row>
    <row r="6144" spans="1:4">
      <c r="A6144" t="str">
        <f>"56114-U0100"</f>
        <v>56114-U0100</v>
      </c>
      <c r="B6144" t="str">
        <f>"WASHER SPECIAL"</f>
        <v>WASHER SPECIAL</v>
      </c>
      <c r="C6144">
        <v>18</v>
      </c>
      <c r="D6144">
        <v>43.655999999999999</v>
      </c>
    </row>
    <row r="6145" spans="1:4">
      <c r="A6145" t="str">
        <f>"56119-01J00"</f>
        <v>56119-01J00</v>
      </c>
      <c r="B6145" t="str">
        <f>"BUSHING RUBBER"</f>
        <v>BUSHING RUBBER</v>
      </c>
      <c r="C6145">
        <v>50</v>
      </c>
      <c r="D6145">
        <v>162.38399999999999</v>
      </c>
    </row>
    <row r="6146" spans="1:4">
      <c r="A6146" t="str">
        <f>"56119-MD00B"</f>
        <v>56119-MD00B</v>
      </c>
      <c r="B6146" t="str">
        <f>"BUSH-SHOCK ABSO"</f>
        <v>BUSH-SHOCK ABSO</v>
      </c>
      <c r="C6146">
        <v>0</v>
      </c>
      <c r="D6146">
        <v>278.25599999999997</v>
      </c>
    </row>
    <row r="6147" spans="1:4">
      <c r="A6147" t="str">
        <f>"56119-V6000"</f>
        <v>56119-V6000</v>
      </c>
      <c r="B6147" t="str">
        <f>"BUSHING RUBBER"</f>
        <v>BUSHING RUBBER</v>
      </c>
      <c r="C6147">
        <v>10</v>
      </c>
      <c r="D6147">
        <v>71.808000000000007</v>
      </c>
    </row>
    <row r="6148" spans="1:4">
      <c r="A6148" t="str">
        <f>"56124-18000"</f>
        <v>56124-18000</v>
      </c>
      <c r="B6148" t="str">
        <f>"BUSHING ASSY-MO"</f>
        <v>BUSHING ASSY-MO</v>
      </c>
      <c r="C6148">
        <v>12</v>
      </c>
      <c r="D6148">
        <v>66.504000000000005</v>
      </c>
    </row>
    <row r="6149" spans="1:4">
      <c r="A6149" t="str">
        <f>"56129-01J0A"</f>
        <v>56129-01J0A</v>
      </c>
      <c r="B6149" t="str">
        <f>"Шайба амортизато"</f>
        <v>Шайба амортизато</v>
      </c>
      <c r="C6149">
        <v>9</v>
      </c>
      <c r="D6149">
        <v>51.408000000000001</v>
      </c>
    </row>
    <row r="6150" spans="1:4">
      <c r="A6150" t="str">
        <f>"56129-3270A"</f>
        <v>56129-3270A</v>
      </c>
      <c r="B6150" t="str">
        <f>"Шайба втулки амортиз"</f>
        <v>Шайба втулки амортиз</v>
      </c>
      <c r="C6150">
        <v>8</v>
      </c>
      <c r="D6150">
        <v>55.895999999999994</v>
      </c>
    </row>
    <row r="6151" spans="1:4">
      <c r="A6151" t="str">
        <f>"56200-1F2P7"</f>
        <v>56200-1F2P7</v>
      </c>
      <c r="B6151" t="str">
        <f>"ABSORBER KIT-SH"</f>
        <v>ABSORBER KIT-SH</v>
      </c>
      <c r="C6151">
        <v>0</v>
      </c>
      <c r="D6151">
        <v>5043.6959999999999</v>
      </c>
    </row>
    <row r="6152" spans="1:4">
      <c r="A6152" t="str">
        <f>"56200-2N3X7"</f>
        <v>56200-2N3X7</v>
      </c>
      <c r="B6152" t="str">
        <f>"ABSORBER KIT-SH"</f>
        <v>ABSORBER KIT-SH</v>
      </c>
      <c r="C6152">
        <v>1</v>
      </c>
      <c r="D6152">
        <v>3612.0239999999999</v>
      </c>
    </row>
    <row r="6153" spans="1:4">
      <c r="A6153" t="str">
        <f>"56200-35GXE"</f>
        <v>56200-35GXE</v>
      </c>
      <c r="B6153" t="str">
        <f>"Амортизатор задн"</f>
        <v>Амортизатор задн</v>
      </c>
      <c r="C6153">
        <v>4</v>
      </c>
      <c r="D6153">
        <v>1159.5359999999998</v>
      </c>
    </row>
    <row r="6154" spans="1:4">
      <c r="A6154" t="str">
        <f>"56200-5X02A"</f>
        <v>56200-5X02A</v>
      </c>
      <c r="B6154" t="str">
        <f>"Амортизатор"</f>
        <v>Амортизатор</v>
      </c>
      <c r="C6154">
        <v>0</v>
      </c>
      <c r="D6154">
        <v>2591.2080000000001</v>
      </c>
    </row>
    <row r="6155" spans="1:4">
      <c r="A6155" t="str">
        <f>"56200-EA525"</f>
        <v>56200-EA525</v>
      </c>
      <c r="B6155" t="str">
        <f>"ABSORBER KIT-SH"</f>
        <v>ABSORBER KIT-SH</v>
      </c>
      <c r="C6155">
        <v>0</v>
      </c>
      <c r="D6155">
        <v>3613.6559999999999</v>
      </c>
    </row>
    <row r="6156" spans="1:4">
      <c r="A6156" t="str">
        <f>"56200-EB31C"</f>
        <v>56200-EB31C</v>
      </c>
      <c r="B6156" t="str">
        <f t="shared" ref="B6156:B6162" si="117">"Амортизатор задн"</f>
        <v>Амортизатор задн</v>
      </c>
      <c r="C6156">
        <v>18</v>
      </c>
      <c r="D6156">
        <v>3857.232</v>
      </c>
    </row>
    <row r="6157" spans="1:4">
      <c r="A6157" t="str">
        <f>"56200-VB0XE"</f>
        <v>56200-VB0XE</v>
      </c>
      <c r="B6157" t="str">
        <f t="shared" si="117"/>
        <v>Амортизатор задн</v>
      </c>
      <c r="C6157">
        <v>4</v>
      </c>
      <c r="D6157">
        <v>2902.5120000000002</v>
      </c>
    </row>
    <row r="6158" spans="1:4">
      <c r="A6158" t="str">
        <f>"56200-ZV60A"</f>
        <v>56200-ZV60A</v>
      </c>
      <c r="B6158" t="str">
        <f t="shared" si="117"/>
        <v>Амортизатор задн</v>
      </c>
      <c r="C6158">
        <v>0</v>
      </c>
      <c r="D6158">
        <v>7711.6080000000002</v>
      </c>
    </row>
    <row r="6159" spans="1:4">
      <c r="A6159" t="str">
        <f>"56200-ZV61A"</f>
        <v>56200-ZV61A</v>
      </c>
      <c r="B6159" t="str">
        <f t="shared" si="117"/>
        <v>Амортизатор задн</v>
      </c>
      <c r="C6159">
        <v>1</v>
      </c>
      <c r="D6159">
        <v>7963.3439999999991</v>
      </c>
    </row>
    <row r="6160" spans="1:4">
      <c r="A6160" t="str">
        <f>"56200-ZV63A"</f>
        <v>56200-ZV63A</v>
      </c>
      <c r="B6160" t="str">
        <f t="shared" si="117"/>
        <v>Амортизатор задн</v>
      </c>
      <c r="C6160">
        <v>0</v>
      </c>
      <c r="D6160">
        <v>7700.5919999999996</v>
      </c>
    </row>
    <row r="6161" spans="1:4">
      <c r="A6161" t="str">
        <f>"56200-ZV65A"</f>
        <v>56200-ZV65A</v>
      </c>
      <c r="B6161" t="str">
        <f t="shared" si="117"/>
        <v>Амортизатор задн</v>
      </c>
      <c r="C6161">
        <v>2</v>
      </c>
      <c r="D6161">
        <v>7770.768</v>
      </c>
    </row>
    <row r="6162" spans="1:4">
      <c r="A6162" t="str">
        <f>"56210-01JXE"</f>
        <v>56210-01JXE</v>
      </c>
      <c r="B6162" t="str">
        <f t="shared" si="117"/>
        <v>Амортизатор задн</v>
      </c>
      <c r="C6162">
        <v>0</v>
      </c>
      <c r="D6162">
        <v>2135.0639999999999</v>
      </c>
    </row>
    <row r="6163" spans="1:4">
      <c r="A6163" t="str">
        <f>"56210-2U325"</f>
        <v>56210-2U325</v>
      </c>
      <c r="B6163" t="str">
        <f>"ABSORBER-SHOCK"</f>
        <v>ABSORBER-SHOCK</v>
      </c>
      <c r="C6163">
        <v>13</v>
      </c>
      <c r="D6163">
        <v>802.53599999999994</v>
      </c>
    </row>
    <row r="6164" spans="1:4">
      <c r="A6164" t="str">
        <f>"56210-4M426"</f>
        <v>56210-4M426</v>
      </c>
      <c r="B6164" t="str">
        <f>"ABSORBER-SHOCK"</f>
        <v>ABSORBER-SHOCK</v>
      </c>
      <c r="C6164">
        <v>7</v>
      </c>
      <c r="D6164">
        <v>1919.6399999999999</v>
      </c>
    </row>
    <row r="6165" spans="1:4">
      <c r="A6165" t="str">
        <f>"56210-4N086"</f>
        <v>56210-4N086</v>
      </c>
      <c r="B6165" t="str">
        <f>"Амортизатор задн"</f>
        <v>Амортизатор задн</v>
      </c>
      <c r="C6165">
        <v>9</v>
      </c>
      <c r="D6165">
        <v>2675.2559999999999</v>
      </c>
    </row>
    <row r="6166" spans="1:4">
      <c r="A6166" t="str">
        <f>"56210-4U025"</f>
        <v>56210-4U025</v>
      </c>
      <c r="B6166" t="str">
        <f>"ABSORBER-SHOCK"</f>
        <v>ABSORBER-SHOCK</v>
      </c>
      <c r="C6166">
        <v>5</v>
      </c>
      <c r="D6166">
        <v>2927.4</v>
      </c>
    </row>
    <row r="6167" spans="1:4">
      <c r="A6167" t="str">
        <f>"56210-5C027"</f>
        <v>56210-5C027</v>
      </c>
      <c r="B6167" t="str">
        <f>"ABSORBER SHOCK"</f>
        <v>ABSORBER SHOCK</v>
      </c>
      <c r="C6167">
        <v>4</v>
      </c>
      <c r="D6167">
        <v>2754.4079999999999</v>
      </c>
    </row>
    <row r="6168" spans="1:4">
      <c r="A6168" t="str">
        <f>"56210-5L426"</f>
        <v>56210-5L426</v>
      </c>
      <c r="B6168" t="str">
        <f>"ABSORBER-SHOCK"</f>
        <v>ABSORBER-SHOCK</v>
      </c>
      <c r="C6168">
        <v>3</v>
      </c>
      <c r="D6168">
        <v>3410.0639999999999</v>
      </c>
    </row>
    <row r="6169" spans="1:4">
      <c r="A6169" t="str">
        <f>"56210-5Y0X5"</f>
        <v>56210-5Y0X5</v>
      </c>
      <c r="B6169" t="str">
        <f>"ABSORBER KIT-RR"</f>
        <v>ABSORBER KIT-RR</v>
      </c>
      <c r="C6169">
        <v>3</v>
      </c>
      <c r="D6169">
        <v>2951.4719999999998</v>
      </c>
    </row>
    <row r="6170" spans="1:4">
      <c r="A6170" t="str">
        <f>"56210-63RXE"</f>
        <v>56210-63RXE</v>
      </c>
      <c r="B6170" t="str">
        <f>"Амортизатор задн"</f>
        <v>Амортизатор задн</v>
      </c>
      <c r="C6170">
        <v>4</v>
      </c>
      <c r="D6170">
        <v>1227.6719999999998</v>
      </c>
    </row>
    <row r="6171" spans="1:4">
      <c r="A6171" t="str">
        <f>"56210-6Y3X5"</f>
        <v>56210-6Y3X5</v>
      </c>
      <c r="B6171" t="str">
        <f>"Амортизатор задн"</f>
        <v>Амортизатор задн</v>
      </c>
      <c r="C6171">
        <v>22</v>
      </c>
      <c r="D6171">
        <v>3020.424</v>
      </c>
    </row>
    <row r="6172" spans="1:4">
      <c r="A6172" t="str">
        <f>"56210-95F0B"</f>
        <v>56210-95F0B</v>
      </c>
      <c r="B6172" t="str">
        <f>"Амортизатор задн"</f>
        <v>Амортизатор задн</v>
      </c>
      <c r="C6172">
        <v>0</v>
      </c>
      <c r="D6172">
        <v>1751.952</v>
      </c>
    </row>
    <row r="6173" spans="1:4">
      <c r="A6173" t="str">
        <f>"56210-AA025"</f>
        <v>56210-AA025</v>
      </c>
      <c r="B6173" t="str">
        <f>"ABSORBER-SHOCK"</f>
        <v>ABSORBER-SHOCK</v>
      </c>
      <c r="C6173">
        <v>6</v>
      </c>
      <c r="D6173">
        <v>4011.4560000000001</v>
      </c>
    </row>
    <row r="6174" spans="1:4">
      <c r="A6174" t="str">
        <f>"56210-AV425"</f>
        <v>56210-AV425</v>
      </c>
      <c r="B6174" t="str">
        <f>"ABSORBER KIT-SH"</f>
        <v>ABSORBER KIT-SH</v>
      </c>
      <c r="C6174">
        <v>3</v>
      </c>
      <c r="D6174">
        <v>2856</v>
      </c>
    </row>
    <row r="6175" spans="1:4">
      <c r="A6175" t="str">
        <f>"56210-AX025"</f>
        <v>56210-AX025</v>
      </c>
      <c r="B6175" t="str">
        <f>"Амортизатор задн"</f>
        <v>Амортизатор задн</v>
      </c>
      <c r="C6175">
        <v>27</v>
      </c>
      <c r="D6175">
        <v>1933.5119999999999</v>
      </c>
    </row>
    <row r="6176" spans="1:4">
      <c r="A6176" t="str">
        <f>"56210-BA027"</f>
        <v>56210-BA027</v>
      </c>
      <c r="B6176" t="str">
        <f>"ABSORBER KIT-SH"</f>
        <v>ABSORBER KIT-SH</v>
      </c>
      <c r="C6176">
        <v>19</v>
      </c>
      <c r="D6176">
        <v>3048.1679999999997</v>
      </c>
    </row>
    <row r="6177" spans="1:4">
      <c r="A6177" t="str">
        <f>"56210-BM426"</f>
        <v>56210-BM426</v>
      </c>
      <c r="B6177" t="str">
        <f>"ABSORBER KIT-SH"</f>
        <v>ABSORBER KIT-SH</v>
      </c>
      <c r="C6177">
        <v>0</v>
      </c>
      <c r="D6177">
        <v>2184.4319999999998</v>
      </c>
    </row>
    <row r="6178" spans="1:4">
      <c r="A6178" t="str">
        <f>"56210-BN825"</f>
        <v>56210-BN825</v>
      </c>
      <c r="B6178" t="str">
        <f>"ABSORBER KIT-SH"</f>
        <v>ABSORBER KIT-SH</v>
      </c>
      <c r="C6178">
        <v>17</v>
      </c>
      <c r="D6178">
        <v>2424.7439999999997</v>
      </c>
    </row>
    <row r="6179" spans="1:4">
      <c r="A6179" t="str">
        <f>"56210-BU000"</f>
        <v>56210-BU000</v>
      </c>
      <c r="B6179" t="str">
        <f>"ABSORBER ASSY-S"</f>
        <v>ABSORBER ASSY-S</v>
      </c>
      <c r="C6179">
        <v>0</v>
      </c>
      <c r="D6179">
        <v>2346</v>
      </c>
    </row>
    <row r="6180" spans="1:4">
      <c r="A6180" t="str">
        <f>"56210-CA025"</f>
        <v>56210-CA025</v>
      </c>
      <c r="B6180" t="str">
        <f>"Амортизатор задн"</f>
        <v>Амортизатор задн</v>
      </c>
      <c r="C6180">
        <v>4</v>
      </c>
      <c r="D6180">
        <v>4689.5519999999997</v>
      </c>
    </row>
    <row r="6181" spans="1:4">
      <c r="A6181" t="str">
        <f>"56210-CA026"</f>
        <v>56210-CA026</v>
      </c>
      <c r="B6181" t="str">
        <f>"ABSORBER-SHOCK"</f>
        <v>ABSORBER-SHOCK</v>
      </c>
      <c r="C6181">
        <v>2</v>
      </c>
      <c r="D6181">
        <v>4483.1040000000003</v>
      </c>
    </row>
    <row r="6182" spans="1:4">
      <c r="A6182" t="str">
        <f>"56210-CB026"</f>
        <v>56210-CB026</v>
      </c>
      <c r="B6182" t="str">
        <f>"ABSORBER KIT-SH"</f>
        <v>ABSORBER KIT-SH</v>
      </c>
      <c r="C6182">
        <v>0</v>
      </c>
      <c r="D6182">
        <v>4784.2079999999996</v>
      </c>
    </row>
    <row r="6183" spans="1:4">
      <c r="A6183" t="str">
        <f>"56210-CG025"</f>
        <v>56210-CG025</v>
      </c>
      <c r="B6183" t="str">
        <f>"Амортизатор задн"</f>
        <v>Амортизатор задн</v>
      </c>
      <c r="C6183">
        <v>14</v>
      </c>
      <c r="D6183">
        <v>4328.0639999999994</v>
      </c>
    </row>
    <row r="6184" spans="1:4">
      <c r="A6184" t="str">
        <f>"56210-CG725"</f>
        <v>56210-CG725</v>
      </c>
      <c r="B6184" t="str">
        <f>"Амортизатор задн"</f>
        <v>Амортизатор задн</v>
      </c>
      <c r="C6184">
        <v>6</v>
      </c>
      <c r="D6184">
        <v>4029</v>
      </c>
    </row>
    <row r="6185" spans="1:4">
      <c r="A6185" t="str">
        <f>"56210-WD326"</f>
        <v>56210-WD326</v>
      </c>
      <c r="B6185" t="str">
        <f>"Амортизатор задн"</f>
        <v>Амортизатор задн</v>
      </c>
      <c r="C6185">
        <v>0</v>
      </c>
      <c r="D6185">
        <v>1454.1119999999999</v>
      </c>
    </row>
    <row r="6186" spans="1:4">
      <c r="A6186" t="str">
        <f>"56210-WD426"</f>
        <v>56210-WD426</v>
      </c>
      <c r="B6186" t="str">
        <f>"Амортизатор задн"</f>
        <v>Амортизатор задн</v>
      </c>
      <c r="C6186">
        <v>8</v>
      </c>
      <c r="D6186">
        <v>1904.5439999999999</v>
      </c>
    </row>
    <row r="6187" spans="1:4">
      <c r="A6187" t="str">
        <f>"56210-WF126"</f>
        <v>56210-WF126</v>
      </c>
      <c r="B6187" t="str">
        <f>"ABSORBER-SHOCK"</f>
        <v>ABSORBER-SHOCK</v>
      </c>
      <c r="C6187">
        <v>0</v>
      </c>
      <c r="D6187">
        <v>2525.1120000000001</v>
      </c>
    </row>
    <row r="6188" spans="1:4">
      <c r="A6188" t="str">
        <f>"56211-WD326"</f>
        <v>56211-WD326</v>
      </c>
      <c r="B6188" t="str">
        <f>"Амортизатор задн"</f>
        <v>Амортизатор задн</v>
      </c>
      <c r="C6188">
        <v>8</v>
      </c>
      <c r="D6188">
        <v>1430.4479999999999</v>
      </c>
    </row>
    <row r="6189" spans="1:4">
      <c r="A6189" t="str">
        <f>"56211-WD426"</f>
        <v>56211-WD426</v>
      </c>
      <c r="B6189" t="str">
        <f>"Амортизатор задн"</f>
        <v>Амортизатор задн</v>
      </c>
      <c r="C6189">
        <v>0</v>
      </c>
      <c r="D6189">
        <v>1756.848</v>
      </c>
    </row>
    <row r="6190" spans="1:4">
      <c r="A6190" t="str">
        <f>"56211-WF126"</f>
        <v>56211-WF126</v>
      </c>
      <c r="B6190" t="str">
        <f>"ABSORBER-SHOCK"</f>
        <v>ABSORBER-SHOCK</v>
      </c>
      <c r="C6190">
        <v>0</v>
      </c>
      <c r="D6190">
        <v>2542.248</v>
      </c>
    </row>
    <row r="6191" spans="1:4">
      <c r="A6191" t="str">
        <f>"56217-61L10"</f>
        <v>56217-61L10</v>
      </c>
      <c r="B6191" t="str">
        <f>"BUSHING RUBBER"</f>
        <v>BUSHING RUBBER</v>
      </c>
      <c r="C6191">
        <v>24</v>
      </c>
      <c r="D6191">
        <v>85.68</v>
      </c>
    </row>
    <row r="6192" spans="1:4">
      <c r="A6192" t="str">
        <f>"56217-90J00"</f>
        <v>56217-90J00</v>
      </c>
      <c r="B6192" t="str">
        <f>"BUSHING RUBBER"</f>
        <v>BUSHING RUBBER</v>
      </c>
      <c r="C6192">
        <v>42</v>
      </c>
      <c r="D6192">
        <v>60.791999999999994</v>
      </c>
    </row>
    <row r="6193" spans="1:4">
      <c r="A6193" t="str">
        <f>"56217-AX600"</f>
        <v>56217-AX600</v>
      </c>
      <c r="B6193" t="str">
        <f>"BUSH-REAR SHOCK"</f>
        <v>BUSH-REAR SHOCK</v>
      </c>
      <c r="C6193">
        <v>40</v>
      </c>
      <c r="D6193">
        <v>140.35199999999998</v>
      </c>
    </row>
    <row r="6194" spans="1:4">
      <c r="A6194" t="str">
        <f>"56217-CA000"</f>
        <v>56217-CA000</v>
      </c>
      <c r="B6194" t="str">
        <f>"Втулка стабилизатора"</f>
        <v>Втулка стабилизатора</v>
      </c>
      <c r="C6194">
        <v>32</v>
      </c>
      <c r="D6194">
        <v>294.57599999999996</v>
      </c>
    </row>
    <row r="6195" spans="1:4">
      <c r="A6195" t="str">
        <f>"56217-CG010"</f>
        <v>56217-CG010</v>
      </c>
      <c r="B6195" t="str">
        <f>"Втулка амортизат"</f>
        <v>Втулка амортизат</v>
      </c>
      <c r="C6195">
        <v>5</v>
      </c>
      <c r="D6195">
        <v>322.72800000000001</v>
      </c>
    </row>
    <row r="6196" spans="1:4">
      <c r="A6196" t="str">
        <f>"56218-61L10"</f>
        <v>56218-61L10</v>
      </c>
      <c r="B6196" t="str">
        <f>"BUSHING RUBBER"</f>
        <v>BUSHING RUBBER</v>
      </c>
      <c r="C6196">
        <v>14</v>
      </c>
      <c r="D6196">
        <v>120.768</v>
      </c>
    </row>
    <row r="6197" spans="1:4">
      <c r="A6197" t="str">
        <f>"56218-90J00"</f>
        <v>56218-90J00</v>
      </c>
      <c r="B6197" t="str">
        <f>"BUSH RUBBER"</f>
        <v>BUSH RUBBER</v>
      </c>
      <c r="C6197">
        <v>0</v>
      </c>
      <c r="D6197">
        <v>90.576000000000008</v>
      </c>
    </row>
    <row r="6198" spans="1:4">
      <c r="A6198" t="str">
        <f>"56218-CA000"</f>
        <v>56218-CA000</v>
      </c>
      <c r="B6198" t="str">
        <f>"Втулка стабилизатора"</f>
        <v>Втулка стабилизатора</v>
      </c>
      <c r="C6198">
        <v>18</v>
      </c>
      <c r="D6198">
        <v>272.952</v>
      </c>
    </row>
    <row r="6199" spans="1:4">
      <c r="A6199" t="str">
        <f>"56218-CG020"</f>
        <v>56218-CG020</v>
      </c>
      <c r="B6199" t="str">
        <f>"Втулка амортизат"</f>
        <v>Втулка амортизат</v>
      </c>
      <c r="C6199">
        <v>0</v>
      </c>
      <c r="D6199">
        <v>310.488</v>
      </c>
    </row>
    <row r="6200" spans="1:4">
      <c r="A6200" t="str">
        <f>"56219-5X00A"</f>
        <v>56219-5X00A</v>
      </c>
      <c r="B6200" t="str">
        <f>"Сайлентблок амортиза"</f>
        <v>Сайлентблок амортиза</v>
      </c>
      <c r="C6200">
        <v>0</v>
      </c>
      <c r="D6200">
        <v>327.21600000000001</v>
      </c>
    </row>
    <row r="6201" spans="1:4">
      <c r="A6201" t="str">
        <f>"56219-VB000"</f>
        <v>56219-VB000</v>
      </c>
      <c r="B6201" t="str">
        <f>"BUSHING RUBBER"</f>
        <v>BUSHING RUBBER</v>
      </c>
      <c r="C6201">
        <v>19</v>
      </c>
      <c r="D6201">
        <v>89.35199999999999</v>
      </c>
    </row>
    <row r="6202" spans="1:4">
      <c r="A6202" t="str">
        <f>"56230-8H510"</f>
        <v>56230-8H510</v>
      </c>
      <c r="B6202" t="str">
        <f>"BAR-TORSION"</f>
        <v>BAR-TORSION</v>
      </c>
      <c r="C6202">
        <v>6</v>
      </c>
      <c r="D6202">
        <v>5067.768</v>
      </c>
    </row>
    <row r="6203" spans="1:4">
      <c r="A6203" t="str">
        <f>"56230-AV700"</f>
        <v>56230-AV700</v>
      </c>
      <c r="B6203" t="str">
        <f>"STABILIZER-REAR"</f>
        <v>STABILIZER-REAR</v>
      </c>
      <c r="C6203">
        <v>4</v>
      </c>
      <c r="D6203">
        <v>7817.6879999999992</v>
      </c>
    </row>
    <row r="6204" spans="1:4">
      <c r="A6204" t="str">
        <f>"56230-JN20A"</f>
        <v>56230-JN20A</v>
      </c>
      <c r="B6204" t="str">
        <f>"Стабилизатор зад"</f>
        <v>Стабилизатор зад</v>
      </c>
      <c r="C6204">
        <v>6</v>
      </c>
      <c r="D6204">
        <v>5091.8399999999992</v>
      </c>
    </row>
    <row r="6205" spans="1:4">
      <c r="A6205" t="str">
        <f>"56231-06J10"</f>
        <v>56231-06J10</v>
      </c>
      <c r="B6205" t="str">
        <f>"BRKT-C-RR-STABI"</f>
        <v>BRKT-C-RR-STABI</v>
      </c>
      <c r="C6205">
        <v>2</v>
      </c>
      <c r="D6205">
        <v>464.30399999999997</v>
      </c>
    </row>
    <row r="6206" spans="1:4">
      <c r="A6206" t="str">
        <f>"56243-0E015"</f>
        <v>56243-0E015</v>
      </c>
      <c r="B6206" t="str">
        <f>"BUSH-STABILIZER"</f>
        <v>BUSH-STABILIZER</v>
      </c>
      <c r="C6206">
        <v>0</v>
      </c>
      <c r="D6206">
        <v>181.56</v>
      </c>
    </row>
    <row r="6207" spans="1:4">
      <c r="A6207" t="str">
        <f>"56243-0E016"</f>
        <v>56243-0E016</v>
      </c>
      <c r="B6207" t="str">
        <f>"BUSH-STABILIZER"</f>
        <v>BUSH-STABILIZER</v>
      </c>
      <c r="C6207">
        <v>32</v>
      </c>
      <c r="D6207">
        <v>179.11199999999999</v>
      </c>
    </row>
    <row r="6208" spans="1:4">
      <c r="A6208" t="str">
        <f>"56243-1AA0A"</f>
        <v>56243-1AA0A</v>
      </c>
      <c r="B6208" t="str">
        <f>"Втулка стабилизатора"</f>
        <v>Втулка стабилизатора</v>
      </c>
      <c r="C6208">
        <v>10</v>
      </c>
      <c r="D6208">
        <v>187.27199999999999</v>
      </c>
    </row>
    <row r="6209" spans="1:4">
      <c r="A6209" t="str">
        <f>"56243-1AD0A"</f>
        <v>56243-1AD0A</v>
      </c>
      <c r="B6209" t="str">
        <f>"Втулка стабилизатора"</f>
        <v>Втулка стабилизатора</v>
      </c>
      <c r="C6209">
        <v>126</v>
      </c>
      <c r="D6209">
        <v>188.08799999999999</v>
      </c>
    </row>
    <row r="6210" spans="1:4">
      <c r="A6210" t="str">
        <f>"56243-30R10"</f>
        <v>56243-30R10</v>
      </c>
      <c r="B6210" t="str">
        <f>"BUSH RR STABILI"</f>
        <v>BUSH RR STABILI</v>
      </c>
      <c r="C6210">
        <v>7</v>
      </c>
      <c r="D6210">
        <v>191.352</v>
      </c>
    </row>
    <row r="6211" spans="1:4">
      <c r="A6211" t="str">
        <f>"56243-35R10"</f>
        <v>56243-35R10</v>
      </c>
      <c r="B6211" t="str">
        <f>"BUSH-STABILIZER"</f>
        <v>BUSH-STABILIZER</v>
      </c>
      <c r="C6211">
        <v>0</v>
      </c>
      <c r="D6211">
        <v>192.98399999999998</v>
      </c>
    </row>
    <row r="6212" spans="1:4">
      <c r="A6212" t="str">
        <f>"56243-60Y10"</f>
        <v>56243-60Y10</v>
      </c>
      <c r="B6212" t="str">
        <f>"BUSH-STABILIZER"</f>
        <v>BUSH-STABILIZER</v>
      </c>
      <c r="C6212">
        <v>0</v>
      </c>
      <c r="D6212">
        <v>168.91199999999998</v>
      </c>
    </row>
    <row r="6213" spans="1:4">
      <c r="A6213" t="str">
        <f>"56243-92J00"</f>
        <v>56243-92J00</v>
      </c>
      <c r="B6213" t="str">
        <f>"BUSHING-STABI"</f>
        <v>BUSHING-STABI</v>
      </c>
      <c r="C6213">
        <v>0</v>
      </c>
      <c r="D6213">
        <v>138.72</v>
      </c>
    </row>
    <row r="6214" spans="1:4">
      <c r="A6214" t="str">
        <f>"56243-VC220"</f>
        <v>56243-VC220</v>
      </c>
      <c r="B6214" t="str">
        <f>"BUSH-STABILIZER"</f>
        <v>BUSH-STABILIZER</v>
      </c>
      <c r="C6214">
        <v>33</v>
      </c>
      <c r="D6214">
        <v>174.624</v>
      </c>
    </row>
    <row r="6215" spans="1:4">
      <c r="A6215" t="str">
        <f>"56244-9X200"</f>
        <v>56244-9X200</v>
      </c>
      <c r="B6215" t="str">
        <f>"BUSH-MOUNTING,T"</f>
        <v>BUSH-MOUNTING,T</v>
      </c>
      <c r="C6215">
        <v>4</v>
      </c>
      <c r="D6215">
        <v>120.768</v>
      </c>
    </row>
    <row r="6216" spans="1:4">
      <c r="A6216" t="str">
        <f>"56244-9X50A"</f>
        <v>56244-9X50A</v>
      </c>
      <c r="B6216" t="str">
        <f>"Втулка стабилизатора"</f>
        <v>Втулка стабилизатора</v>
      </c>
      <c r="C6216">
        <v>0</v>
      </c>
      <c r="D6216">
        <v>332.52000000000004</v>
      </c>
    </row>
    <row r="6217" spans="1:4">
      <c r="A6217" t="str">
        <f>"56260-30R00"</f>
        <v>56260-30R00</v>
      </c>
      <c r="B6217" t="str">
        <f>"ROD ASSY-CONNEC"</f>
        <v>ROD ASSY-CONNEC</v>
      </c>
      <c r="C6217">
        <v>1</v>
      </c>
      <c r="D6217">
        <v>734.4</v>
      </c>
    </row>
    <row r="6218" spans="1:4">
      <c r="A6218" t="str">
        <f>"56260-60Y60"</f>
        <v>56260-60Y60</v>
      </c>
      <c r="B6218" t="str">
        <f>"ROD-CONECT,STAB"</f>
        <v>ROD-CONECT,STAB</v>
      </c>
      <c r="C6218">
        <v>4</v>
      </c>
      <c r="D6218">
        <v>677.28</v>
      </c>
    </row>
    <row r="6219" spans="1:4">
      <c r="A6219" t="str">
        <f>"56260-VC300"</f>
        <v>56260-VC300</v>
      </c>
      <c r="B6219" t="str">
        <f>"ROD-CONECT,STAB"</f>
        <v>ROD-CONECT,STAB</v>
      </c>
      <c r="C6219">
        <v>27</v>
      </c>
      <c r="D6219">
        <v>754.39199999999994</v>
      </c>
    </row>
    <row r="6220" spans="1:4">
      <c r="A6220" t="str">
        <f>"56260-VC310"</f>
        <v>56260-VC310</v>
      </c>
      <c r="B6220" t="str">
        <f>"ROD-CONECT,STAB"</f>
        <v>ROD-CONECT,STAB</v>
      </c>
      <c r="C6220">
        <v>0</v>
      </c>
      <c r="D6220">
        <v>694.41599999999994</v>
      </c>
    </row>
    <row r="6221" spans="1:4">
      <c r="A6221" t="str">
        <f>"56260-VE000"</f>
        <v>56260-VE000</v>
      </c>
      <c r="B6221" t="str">
        <f>"ROD-CONECT,STAB"</f>
        <v>ROD-CONECT,STAB</v>
      </c>
      <c r="C6221">
        <v>20</v>
      </c>
      <c r="D6221">
        <v>700.53599999999994</v>
      </c>
    </row>
    <row r="6222" spans="1:4">
      <c r="A6222" t="str">
        <f>"56261-1AA0A"</f>
        <v>56261-1AA0A</v>
      </c>
      <c r="B6222" t="str">
        <f>"Тяга стабилизато"</f>
        <v>Тяга стабилизато</v>
      </c>
      <c r="C6222">
        <v>4</v>
      </c>
      <c r="D6222">
        <v>756.43200000000002</v>
      </c>
    </row>
    <row r="6223" spans="1:4">
      <c r="A6223" t="str">
        <f>"56261-1AA0B"</f>
        <v>56261-1AA0B</v>
      </c>
      <c r="B6223" t="str">
        <f>"Тяга стабилизато"</f>
        <v>Тяга стабилизато</v>
      </c>
      <c r="C6223">
        <v>4</v>
      </c>
      <c r="D6223">
        <v>725.01599999999996</v>
      </c>
    </row>
    <row r="6224" spans="1:4">
      <c r="A6224" t="str">
        <f>"56261-1AD0A"</f>
        <v>56261-1AD0A</v>
      </c>
      <c r="B6224" t="str">
        <f>"Стойка стабилизатора"</f>
        <v>Стойка стабилизатора</v>
      </c>
      <c r="C6224">
        <v>20</v>
      </c>
      <c r="D6224">
        <v>736.84799999999996</v>
      </c>
    </row>
    <row r="6225" spans="1:4">
      <c r="A6225" t="str">
        <f>"56261-1AD0B"</f>
        <v>56261-1AD0B</v>
      </c>
      <c r="B6225" t="str">
        <f>"Стойка стабилизатора"</f>
        <v>Стойка стабилизатора</v>
      </c>
      <c r="C6225">
        <v>5</v>
      </c>
      <c r="D6225">
        <v>729.096</v>
      </c>
    </row>
    <row r="6226" spans="1:4">
      <c r="A6226" t="str">
        <f>"56261-7S001"</f>
        <v>56261-7S001</v>
      </c>
      <c r="B6226" t="str">
        <f>"ROD-CONNECTING"</f>
        <v>ROD-CONNECTING</v>
      </c>
      <c r="C6226">
        <v>0</v>
      </c>
      <c r="D6226">
        <v>621.79199999999992</v>
      </c>
    </row>
    <row r="6227" spans="1:4">
      <c r="A6227" t="str">
        <f>"56261-7S011"</f>
        <v>56261-7S011</v>
      </c>
      <c r="B6227" t="str">
        <f>"ROD-CONNECTING"</f>
        <v>ROD-CONNECTING</v>
      </c>
      <c r="C6227">
        <v>8</v>
      </c>
      <c r="D6227">
        <v>628.32000000000005</v>
      </c>
    </row>
    <row r="6228" spans="1:4">
      <c r="A6228" t="str">
        <f>"56261-86J25"</f>
        <v>56261-86J25</v>
      </c>
      <c r="B6228" t="str">
        <f>"ROD-CONECT,STAB"</f>
        <v>ROD-CONECT,STAB</v>
      </c>
      <c r="C6228">
        <v>4</v>
      </c>
      <c r="D6228">
        <v>768.26400000000001</v>
      </c>
    </row>
    <row r="6229" spans="1:4">
      <c r="A6229" t="str">
        <f>"56261-8J000"</f>
        <v>56261-8J000</v>
      </c>
      <c r="B6229" t="str">
        <f>"Стойка стабилизатора"</f>
        <v>Стойка стабилизатора</v>
      </c>
      <c r="C6229">
        <v>0</v>
      </c>
      <c r="D6229">
        <v>491.23199999999997</v>
      </c>
    </row>
    <row r="6230" spans="1:4">
      <c r="A6230" t="str">
        <f>"56261-AV611"</f>
        <v>56261-AV611</v>
      </c>
      <c r="B6230" t="str">
        <f>"ROD-CONN RR"</f>
        <v>ROD-CONN RR</v>
      </c>
      <c r="C6230">
        <v>31</v>
      </c>
      <c r="D6230">
        <v>880.46400000000006</v>
      </c>
    </row>
    <row r="6231" spans="1:4">
      <c r="A6231" t="str">
        <f>"56261-AW000"</f>
        <v>56261-AW000</v>
      </c>
      <c r="B6231" t="str">
        <f>"ROD-CONN RR"</f>
        <v>ROD-CONN RR</v>
      </c>
      <c r="C6231">
        <v>22</v>
      </c>
      <c r="D6231">
        <v>911.47199999999987</v>
      </c>
    </row>
    <row r="6232" spans="1:4">
      <c r="A6232" t="str">
        <f>"56261-CK000"</f>
        <v>56261-CK000</v>
      </c>
      <c r="B6232" t="str">
        <f>"Стойка стабилизатора"</f>
        <v>Стойка стабилизатора</v>
      </c>
      <c r="C6232">
        <v>1</v>
      </c>
      <c r="D6232">
        <v>716.44799999999998</v>
      </c>
    </row>
    <row r="6233" spans="1:4">
      <c r="A6233" t="str">
        <f>"56261-EA500"</f>
        <v>56261-EA500</v>
      </c>
      <c r="B6233" t="str">
        <f>"ROD-CONNECTING,"</f>
        <v>ROD-CONNECTING,</v>
      </c>
      <c r="C6233">
        <v>0</v>
      </c>
      <c r="D6233">
        <v>583.03200000000004</v>
      </c>
    </row>
    <row r="6234" spans="1:4">
      <c r="A6234" t="str">
        <f>"56261-EA510"</f>
        <v>56261-EA510</v>
      </c>
      <c r="B6234" t="str">
        <f>"ROD-CONNECTING,"</f>
        <v>ROD-CONNECTING,</v>
      </c>
      <c r="C6234">
        <v>62</v>
      </c>
      <c r="D6234">
        <v>584.66399999999999</v>
      </c>
    </row>
    <row r="6235" spans="1:4">
      <c r="A6235" t="str">
        <f>"56261-EQ000"</f>
        <v>56261-EQ000</v>
      </c>
      <c r="B6235" t="str">
        <f>"ROD-CONNECTING,"</f>
        <v>ROD-CONNECTING,</v>
      </c>
      <c r="C6235">
        <v>30</v>
      </c>
      <c r="D6235">
        <v>1130.1599999999999</v>
      </c>
    </row>
    <row r="6236" spans="1:4">
      <c r="A6236" t="str">
        <f>"56261-VD20A"</f>
        <v>56261-VD20A</v>
      </c>
      <c r="B6236" t="str">
        <f>"Привод стойки стабил"</f>
        <v>Привод стойки стабил</v>
      </c>
      <c r="C6236">
        <v>3</v>
      </c>
      <c r="D6236">
        <v>28709.327999999998</v>
      </c>
    </row>
    <row r="6237" spans="1:4">
      <c r="A6237" t="str">
        <f>"56262-VD200"</f>
        <v>56262-VD200</v>
      </c>
      <c r="B6237" t="str">
        <f>"CLUTCH ASSY"</f>
        <v>CLUTCH ASSY</v>
      </c>
      <c r="C6237">
        <v>6</v>
      </c>
      <c r="D6237">
        <v>30786.864000000001</v>
      </c>
    </row>
    <row r="6238" spans="1:4">
      <c r="A6238" t="str">
        <f>"57219-VB00A"</f>
        <v>57219-VB00A</v>
      </c>
      <c r="B6238" t="str">
        <f>"Болт крепежный запас"</f>
        <v>Болт крепежный запас</v>
      </c>
      <c r="C6238">
        <v>6</v>
      </c>
      <c r="D6238">
        <v>315.38399999999996</v>
      </c>
    </row>
    <row r="6239" spans="1:4">
      <c r="A6239" t="str">
        <f>"61821-95F0A"</f>
        <v>61821-95F0A</v>
      </c>
      <c r="B6239" t="str">
        <f>"Уплотнитель капо"</f>
        <v>Уплотнитель капо</v>
      </c>
      <c r="C6239">
        <v>8</v>
      </c>
      <c r="D6239">
        <v>308.03999999999996</v>
      </c>
    </row>
    <row r="6240" spans="1:4">
      <c r="A6240" t="str">
        <f>"61874-AV610"</f>
        <v>61874-AV610</v>
      </c>
      <c r="B6240" t="str">
        <f>"FINISHER-UPPER"</f>
        <v>FINISHER-UPPER</v>
      </c>
      <c r="C6240">
        <v>6</v>
      </c>
      <c r="D6240">
        <v>503.06400000000002</v>
      </c>
    </row>
    <row r="6241" spans="1:4">
      <c r="A6241" t="str">
        <f>"62010-VC800"</f>
        <v>62010-VC800</v>
      </c>
      <c r="B6241" t="str">
        <f>"REINFORCE COMPL"</f>
        <v>REINFORCE COMPL</v>
      </c>
      <c r="C6241">
        <v>2</v>
      </c>
      <c r="D6241">
        <v>9763.4399999999987</v>
      </c>
    </row>
    <row r="6242" spans="1:4">
      <c r="A6242" t="str">
        <f>"62010-VD200"</f>
        <v>62010-VD200</v>
      </c>
      <c r="B6242" t="str">
        <f>"REINFORCE COMPL"</f>
        <v>REINFORCE COMPL</v>
      </c>
      <c r="C6242">
        <v>3</v>
      </c>
      <c r="D6242">
        <v>8434.1759999999995</v>
      </c>
    </row>
    <row r="6243" spans="1:4">
      <c r="A6243" t="str">
        <f>"62019-95F0A"</f>
        <v>62019-95F0A</v>
      </c>
      <c r="B6243" t="str">
        <f>"Кожух переднего бамп"</f>
        <v>Кожух переднего бамп</v>
      </c>
      <c r="C6243">
        <v>4</v>
      </c>
      <c r="D6243">
        <v>2769.5039999999999</v>
      </c>
    </row>
    <row r="6244" spans="1:4">
      <c r="A6244" t="str">
        <f>"62022-0N025"</f>
        <v>62022-0N025</v>
      </c>
      <c r="B6244" t="str">
        <f>"BUMPER SET FR"</f>
        <v>BUMPER SET FR</v>
      </c>
      <c r="C6244">
        <v>1</v>
      </c>
      <c r="D6244">
        <v>3936.384</v>
      </c>
    </row>
    <row r="6245" spans="1:4">
      <c r="A6245" t="str">
        <f>"62022-1AH0H"</f>
        <v>62022-1AH0H</v>
      </c>
      <c r="B6245" t="str">
        <f>"Бампер передний"</f>
        <v>Бампер передний</v>
      </c>
      <c r="C6245">
        <v>4</v>
      </c>
      <c r="D6245">
        <v>15121.704</v>
      </c>
    </row>
    <row r="6246" spans="1:4">
      <c r="A6246" t="str">
        <f>"62022-1AT0H"</f>
        <v>62022-1AT0H</v>
      </c>
      <c r="B6246" t="str">
        <f>"Бампер передний"</f>
        <v>Бампер передний</v>
      </c>
      <c r="C6246">
        <v>2</v>
      </c>
      <c r="D6246">
        <v>15752.063999999998</v>
      </c>
    </row>
    <row r="6247" spans="1:4">
      <c r="A6247" t="str">
        <f>"62022-1BF1H"</f>
        <v>62022-1BF1H</v>
      </c>
      <c r="B6247" t="str">
        <f>"Бампер передний"</f>
        <v>Бампер передний</v>
      </c>
      <c r="C6247">
        <v>7</v>
      </c>
      <c r="D6247">
        <v>19422.432000000001</v>
      </c>
    </row>
    <row r="6248" spans="1:4">
      <c r="A6248" t="str">
        <f>"62022-1CJ0H"</f>
        <v>62022-1CJ0H</v>
      </c>
      <c r="B6248" t="str">
        <f>"Бампер передний"</f>
        <v>Бампер передний</v>
      </c>
      <c r="C6248">
        <v>3</v>
      </c>
      <c r="D6248">
        <v>12706.751999999999</v>
      </c>
    </row>
    <row r="6249" spans="1:4">
      <c r="A6249" t="str">
        <f>"62022-1KA1H"</f>
        <v>62022-1KA1H</v>
      </c>
      <c r="B6249" t="str">
        <f>"FACE-FR BUMPER"</f>
        <v>FACE-FR BUMPER</v>
      </c>
      <c r="C6249">
        <v>1</v>
      </c>
      <c r="D6249">
        <v>7000.4639999999999</v>
      </c>
    </row>
    <row r="6250" spans="1:4">
      <c r="A6250" t="str">
        <f>"62022-1KA2H"</f>
        <v>62022-1KA2H</v>
      </c>
      <c r="B6250" t="str">
        <f>"FASCIA-FRONT BU"</f>
        <v>FASCIA-FRONT BU</v>
      </c>
      <c r="C6250">
        <v>0</v>
      </c>
      <c r="D6250">
        <v>5250.96</v>
      </c>
    </row>
    <row r="6251" spans="1:4">
      <c r="A6251" t="str">
        <f>"62022-1LA7H"</f>
        <v>62022-1LA7H</v>
      </c>
      <c r="B6251" t="str">
        <f>"FASCIA-FRONT BU"</f>
        <v>FASCIA-FRONT BU</v>
      </c>
      <c r="C6251">
        <v>0</v>
      </c>
      <c r="D6251">
        <v>20977.727999999999</v>
      </c>
    </row>
    <row r="6252" spans="1:4">
      <c r="A6252" t="str">
        <f>"62022-1LB3H"</f>
        <v>62022-1LB3H</v>
      </c>
      <c r="B6252" t="str">
        <f>"Бампер передний"</f>
        <v>Бампер передний</v>
      </c>
      <c r="C6252">
        <v>2</v>
      </c>
      <c r="D6252">
        <v>10767.528</v>
      </c>
    </row>
    <row r="6253" spans="1:4">
      <c r="A6253" t="str">
        <f>"62022-1MH0H"</f>
        <v>62022-1MH0H</v>
      </c>
      <c r="B6253" t="str">
        <f>"FASCIA-FRONT BU"</f>
        <v>FASCIA-FRONT BU</v>
      </c>
      <c r="C6253">
        <v>0</v>
      </c>
      <c r="D6253">
        <v>14156.784</v>
      </c>
    </row>
    <row r="6254" spans="1:4">
      <c r="A6254" t="str">
        <f>"62022-1NF4H"</f>
        <v>62022-1NF4H</v>
      </c>
      <c r="B6254" t="str">
        <f>"Бампер передний"</f>
        <v>Бампер передний</v>
      </c>
      <c r="C6254">
        <v>4</v>
      </c>
      <c r="D6254">
        <v>14124.96</v>
      </c>
    </row>
    <row r="6255" spans="1:4">
      <c r="A6255" t="str">
        <f>"62022-3UP0H"</f>
        <v>62022-3UP0H</v>
      </c>
      <c r="B6255" t="str">
        <f>"Бампер передний"</f>
        <v>Бампер передний</v>
      </c>
      <c r="C6255">
        <v>2</v>
      </c>
      <c r="D6255">
        <v>11286.912</v>
      </c>
    </row>
    <row r="6256" spans="1:4">
      <c r="A6256" t="str">
        <f>"62022-7M140"</f>
        <v>62022-7M140</v>
      </c>
      <c r="B6256" t="str">
        <f>"FASCIA KIT-FRON"</f>
        <v>FASCIA KIT-FRON</v>
      </c>
      <c r="C6256">
        <v>0</v>
      </c>
      <c r="D6256">
        <v>4212.192</v>
      </c>
    </row>
    <row r="6257" spans="1:4">
      <c r="A6257" t="str">
        <f>"62022-7S620"</f>
        <v>62022-7S620</v>
      </c>
      <c r="B6257" t="str">
        <f>"Бампер передний"</f>
        <v>Бампер передний</v>
      </c>
      <c r="C6257">
        <v>10</v>
      </c>
      <c r="D6257">
        <v>18819.407999999999</v>
      </c>
    </row>
    <row r="6258" spans="1:4">
      <c r="A6258" t="str">
        <f>"62022-9U40H"</f>
        <v>62022-9U40H</v>
      </c>
      <c r="B6258" t="str">
        <f>"Бампер передний"</f>
        <v>Бампер передний</v>
      </c>
      <c r="C6258">
        <v>2</v>
      </c>
      <c r="D6258">
        <v>5012.6879999999992</v>
      </c>
    </row>
    <row r="6259" spans="1:4">
      <c r="A6259" t="str">
        <f>"62022-AU340"</f>
        <v>62022-AU340</v>
      </c>
      <c r="B6259" t="str">
        <f>"FASCIA KIT-FRON"</f>
        <v>FASCIA KIT-FRON</v>
      </c>
      <c r="C6259">
        <v>2</v>
      </c>
      <c r="D6259">
        <v>6211.8</v>
      </c>
    </row>
    <row r="6260" spans="1:4">
      <c r="A6260" t="str">
        <f>"62022-AU440"</f>
        <v>62022-AU440</v>
      </c>
      <c r="B6260" t="str">
        <f>"FASCIA-FRONT BU"</f>
        <v>FASCIA-FRONT BU</v>
      </c>
      <c r="C6260">
        <v>2</v>
      </c>
      <c r="D6260">
        <v>6211.8</v>
      </c>
    </row>
    <row r="6261" spans="1:4">
      <c r="A6261" t="str">
        <f>"62022-AX640"</f>
        <v>62022-AX640</v>
      </c>
      <c r="B6261" t="str">
        <f>"FASCIA-FRONT BU"</f>
        <v>FASCIA-FRONT BU</v>
      </c>
      <c r="C6261">
        <v>1</v>
      </c>
      <c r="D6261">
        <v>4557.3599999999997</v>
      </c>
    </row>
    <row r="6262" spans="1:4">
      <c r="A6262" t="str">
        <f>"62022-BC540"</f>
        <v>62022-BC540</v>
      </c>
      <c r="B6262" t="str">
        <f>"Бампер передний"</f>
        <v>Бампер передний</v>
      </c>
      <c r="C6262">
        <v>2</v>
      </c>
      <c r="D6262">
        <v>4557.3599999999997</v>
      </c>
    </row>
    <row r="6263" spans="1:4">
      <c r="A6263" t="str">
        <f>"62022-BD140"</f>
        <v>62022-BD140</v>
      </c>
      <c r="B6263" t="str">
        <f>"FASCIA-FRONT BU"</f>
        <v>FASCIA-FRONT BU</v>
      </c>
      <c r="C6263">
        <v>2</v>
      </c>
      <c r="D6263">
        <v>4557.3599999999997</v>
      </c>
    </row>
    <row r="6264" spans="1:4">
      <c r="A6264" t="str">
        <f>"62022-BH00H"</f>
        <v>62022-BH00H</v>
      </c>
      <c r="B6264" t="str">
        <f>"Бампер передний"</f>
        <v>Бампер передний</v>
      </c>
      <c r="C6264">
        <v>2</v>
      </c>
      <c r="D6264">
        <v>5012.6879999999992</v>
      </c>
    </row>
    <row r="6265" spans="1:4">
      <c r="A6265" t="str">
        <f>"62022-BN700"</f>
        <v>62022-BN700</v>
      </c>
      <c r="B6265" t="str">
        <f>"FASCIA-FRONT BU"</f>
        <v>FASCIA-FRONT BU</v>
      </c>
      <c r="C6265">
        <v>2</v>
      </c>
      <c r="D6265">
        <v>4212.192</v>
      </c>
    </row>
    <row r="6266" spans="1:4">
      <c r="A6266" t="str">
        <f>"62022-BN800"</f>
        <v>62022-BN800</v>
      </c>
      <c r="B6266" t="str">
        <f>"FASCIA-FRONT BU"</f>
        <v>FASCIA-FRONT BU</v>
      </c>
      <c r="C6266">
        <v>5</v>
      </c>
      <c r="D6266">
        <v>4212.192</v>
      </c>
    </row>
    <row r="6267" spans="1:4">
      <c r="A6267" t="str">
        <f>"62022-BR00H"</f>
        <v>62022-BR00H</v>
      </c>
      <c r="B6267" t="str">
        <f t="shared" ref="B6267:B6278" si="118">"Бампер передний"</f>
        <v>Бампер передний</v>
      </c>
      <c r="C6267">
        <v>2</v>
      </c>
      <c r="D6267">
        <v>6211.8</v>
      </c>
    </row>
    <row r="6268" spans="1:4">
      <c r="A6268" t="str">
        <f>"62022-CA026"</f>
        <v>62022-CA026</v>
      </c>
      <c r="B6268" t="str">
        <f t="shared" si="118"/>
        <v>Бампер передний</v>
      </c>
      <c r="C6268">
        <v>2</v>
      </c>
      <c r="D6268">
        <v>14735.736000000001</v>
      </c>
    </row>
    <row r="6269" spans="1:4">
      <c r="A6269" t="str">
        <f>"62022-EJ92J"</f>
        <v>62022-EJ92J</v>
      </c>
      <c r="B6269" t="str">
        <f t="shared" si="118"/>
        <v>Бампер передний</v>
      </c>
      <c r="C6269">
        <v>4</v>
      </c>
      <c r="D6269">
        <v>17565.216</v>
      </c>
    </row>
    <row r="6270" spans="1:4">
      <c r="A6270" t="str">
        <f>"62022-EM00J"</f>
        <v>62022-EM00J</v>
      </c>
      <c r="B6270" t="str">
        <f t="shared" si="118"/>
        <v>Бампер передний</v>
      </c>
      <c r="C6270">
        <v>1</v>
      </c>
      <c r="D6270">
        <v>5000.04</v>
      </c>
    </row>
    <row r="6271" spans="1:4">
      <c r="A6271" t="str">
        <f>"62022-EM01J"</f>
        <v>62022-EM01J</v>
      </c>
      <c r="B6271" t="str">
        <f t="shared" si="118"/>
        <v>Бампер передний</v>
      </c>
      <c r="C6271">
        <v>3</v>
      </c>
      <c r="D6271">
        <v>8125.32</v>
      </c>
    </row>
    <row r="6272" spans="1:4">
      <c r="A6272" t="str">
        <f>"62022-JD20H"</f>
        <v>62022-JD20H</v>
      </c>
      <c r="B6272" t="str">
        <f t="shared" si="118"/>
        <v>Бампер передний</v>
      </c>
      <c r="C6272">
        <v>5</v>
      </c>
      <c r="D6272">
        <v>5888.2560000000003</v>
      </c>
    </row>
    <row r="6273" spans="1:4">
      <c r="A6273" t="str">
        <f>"62022-JG44H"</f>
        <v>62022-JG44H</v>
      </c>
      <c r="B6273" t="str">
        <f t="shared" si="118"/>
        <v>Бампер передний</v>
      </c>
      <c r="C6273">
        <v>1</v>
      </c>
      <c r="D6273">
        <v>6672.0240000000003</v>
      </c>
    </row>
    <row r="6274" spans="1:4">
      <c r="A6274" t="str">
        <f>"62022-JG54H"</f>
        <v>62022-JG54H</v>
      </c>
      <c r="B6274" t="str">
        <f t="shared" si="118"/>
        <v>Бампер передний</v>
      </c>
      <c r="C6274">
        <v>1</v>
      </c>
      <c r="D6274">
        <v>10223.663999999999</v>
      </c>
    </row>
    <row r="6275" spans="1:4">
      <c r="A6275" t="str">
        <f>"62022-JK80J"</f>
        <v>62022-JK80J</v>
      </c>
      <c r="B6275" t="str">
        <f t="shared" si="118"/>
        <v>Бампер передний</v>
      </c>
      <c r="C6275">
        <v>11</v>
      </c>
      <c r="D6275">
        <v>11228.159999999998</v>
      </c>
    </row>
    <row r="6276" spans="1:4">
      <c r="A6276" t="str">
        <f>"62022-JN90H"</f>
        <v>62022-JN90H</v>
      </c>
      <c r="B6276" t="str">
        <f t="shared" si="118"/>
        <v>Бампер передний</v>
      </c>
      <c r="C6276">
        <v>11</v>
      </c>
      <c r="D6276">
        <v>11126.975999999999</v>
      </c>
    </row>
    <row r="6277" spans="1:4">
      <c r="A6277" t="str">
        <f>"62022-VC727"</f>
        <v>62022-VC727</v>
      </c>
      <c r="B6277" t="str">
        <f t="shared" si="118"/>
        <v>Бампер передний</v>
      </c>
      <c r="C6277">
        <v>3</v>
      </c>
      <c r="D6277">
        <v>14663.928</v>
      </c>
    </row>
    <row r="6278" spans="1:4">
      <c r="A6278" t="str">
        <f>"62022-ZQ10C"</f>
        <v>62022-ZQ10C</v>
      </c>
      <c r="B6278" t="str">
        <f t="shared" si="118"/>
        <v>Бампер передний</v>
      </c>
      <c r="C6278">
        <v>3</v>
      </c>
      <c r="D6278">
        <v>18766.367999999999</v>
      </c>
    </row>
    <row r="6279" spans="1:4">
      <c r="A6279" t="str">
        <f>"62024-7S220"</f>
        <v>62024-7S220</v>
      </c>
      <c r="B6279" t="str">
        <f>"Угол бампера"</f>
        <v>Угол бампера</v>
      </c>
      <c r="C6279">
        <v>2</v>
      </c>
      <c r="D6279">
        <v>2585.4959999999996</v>
      </c>
    </row>
    <row r="6280" spans="1:4">
      <c r="A6280" t="str">
        <f>"62024-95F0A"</f>
        <v>62024-95F0A</v>
      </c>
      <c r="B6280" t="str">
        <f>"Усилитель переднего "</f>
        <v xml:space="preserve">Усилитель переднего </v>
      </c>
      <c r="C6280">
        <v>5</v>
      </c>
      <c r="D6280">
        <v>3412.1039999999998</v>
      </c>
    </row>
    <row r="6281" spans="1:4">
      <c r="A6281" t="str">
        <f>"62025-7S220"</f>
        <v>62025-7S220</v>
      </c>
      <c r="B6281" t="str">
        <f>"Угол переднего бампе"</f>
        <v>Угол переднего бампе</v>
      </c>
      <c r="C6281">
        <v>3</v>
      </c>
      <c r="D6281">
        <v>2608.3439999999996</v>
      </c>
    </row>
    <row r="6282" spans="1:4">
      <c r="A6282" t="str">
        <f>"62026-1CB0A"</f>
        <v>62026-1CB0A</v>
      </c>
      <c r="B6282" t="str">
        <f>"Панель бампера нижня"</f>
        <v>Панель бампера нижня</v>
      </c>
      <c r="C6282">
        <v>3</v>
      </c>
      <c r="D6282">
        <v>3951.8879999999995</v>
      </c>
    </row>
    <row r="6283" spans="1:4">
      <c r="A6283" t="str">
        <f>"62026-1KA0A"</f>
        <v>62026-1KA0A</v>
      </c>
      <c r="B6283" t="str">
        <f>"Бампер передний"</f>
        <v>Бампер передний</v>
      </c>
      <c r="C6283">
        <v>2</v>
      </c>
      <c r="D6283">
        <v>5086.5359999999991</v>
      </c>
    </row>
    <row r="6284" spans="1:4">
      <c r="A6284" t="str">
        <f>"62026-1KA1A"</f>
        <v>62026-1KA1A</v>
      </c>
      <c r="B6284" t="str">
        <f>"Бампер передний"</f>
        <v>Бампер передний</v>
      </c>
      <c r="C6284">
        <v>2</v>
      </c>
      <c r="D6284">
        <v>5250.96</v>
      </c>
    </row>
    <row r="6285" spans="1:4">
      <c r="A6285" t="str">
        <f>"62030-1AA1A"</f>
        <v>62030-1AA1A</v>
      </c>
      <c r="B6285" t="str">
        <f>"Усилитель переднего "</f>
        <v xml:space="preserve">Усилитель переднего </v>
      </c>
      <c r="C6285">
        <v>0</v>
      </c>
      <c r="D6285">
        <v>6865.0079999999998</v>
      </c>
    </row>
    <row r="6286" spans="1:4">
      <c r="A6286" t="str">
        <f>"62030-1CH0A"</f>
        <v>62030-1CH0A</v>
      </c>
      <c r="B6286" t="str">
        <f>"Усилитель переднего "</f>
        <v xml:space="preserve">Усилитель переднего </v>
      </c>
      <c r="C6286">
        <v>7</v>
      </c>
      <c r="D6286">
        <v>11006.208000000001</v>
      </c>
    </row>
    <row r="6287" spans="1:4">
      <c r="A6287" t="str">
        <f>"62030-4M400"</f>
        <v>62030-4M400</v>
      </c>
      <c r="B6287" t="str">
        <f>"REINFORCE-FRONT"</f>
        <v>REINFORCE-FRONT</v>
      </c>
      <c r="C6287">
        <v>1</v>
      </c>
      <c r="D6287">
        <v>1958.3999999999999</v>
      </c>
    </row>
    <row r="6288" spans="1:4">
      <c r="A6288" t="str">
        <f>"62030-8H300"</f>
        <v>62030-8H300</v>
      </c>
      <c r="B6288" t="str">
        <f>"Усилитель переднего "</f>
        <v xml:space="preserve">Усилитель переднего </v>
      </c>
      <c r="C6288">
        <v>2</v>
      </c>
      <c r="D6288">
        <v>2851.9199999999996</v>
      </c>
    </row>
    <row r="6289" spans="1:4">
      <c r="A6289" t="str">
        <f>"62030-8H710"</f>
        <v>62030-8H710</v>
      </c>
      <c r="B6289" t="str">
        <f>"REINFORCE-FRONT"</f>
        <v>REINFORCE-FRONT</v>
      </c>
      <c r="C6289">
        <v>3</v>
      </c>
      <c r="D6289">
        <v>3944.9519999999998</v>
      </c>
    </row>
    <row r="6290" spans="1:4">
      <c r="A6290" t="str">
        <f>"62030-9U000"</f>
        <v>62030-9U000</v>
      </c>
      <c r="B6290" t="str">
        <f>"Усилитель переднего "</f>
        <v xml:space="preserve">Усилитель переднего </v>
      </c>
      <c r="C6290">
        <v>4</v>
      </c>
      <c r="D6290">
        <v>5431.7039999999997</v>
      </c>
    </row>
    <row r="6291" spans="1:4">
      <c r="A6291" t="str">
        <f>"62030-AU300"</f>
        <v>62030-AU300</v>
      </c>
      <c r="B6291" t="str">
        <f>"REINFORCE-FRONT"</f>
        <v>REINFORCE-FRONT</v>
      </c>
      <c r="C6291">
        <v>1</v>
      </c>
      <c r="D6291">
        <v>5117.5439999999999</v>
      </c>
    </row>
    <row r="6292" spans="1:4">
      <c r="A6292" t="str">
        <f>"62030-AX60F"</f>
        <v>62030-AX60F</v>
      </c>
      <c r="B6292" t="str">
        <f>"Усилитель переднего "</f>
        <v xml:space="preserve">Усилитель переднего </v>
      </c>
      <c r="C6292">
        <v>4</v>
      </c>
      <c r="D6292">
        <v>6474.96</v>
      </c>
    </row>
    <row r="6293" spans="1:4">
      <c r="A6293" t="str">
        <f>"62030-CG000"</f>
        <v>62030-CG000</v>
      </c>
      <c r="B6293" t="str">
        <f>"PROTECTOR-FRONT"</f>
        <v>PROTECTOR-FRONT</v>
      </c>
      <c r="C6293">
        <v>0</v>
      </c>
      <c r="D6293">
        <v>6785.04</v>
      </c>
    </row>
    <row r="6294" spans="1:4">
      <c r="A6294" t="str">
        <f>"62030-CL70A"</f>
        <v>62030-CL70A</v>
      </c>
      <c r="B6294" t="str">
        <f>"Усилитель переднего "</f>
        <v xml:space="preserve">Усилитель переднего </v>
      </c>
      <c r="C6294">
        <v>3</v>
      </c>
      <c r="D6294">
        <v>12153.503999999999</v>
      </c>
    </row>
    <row r="6295" spans="1:4">
      <c r="A6295" t="str">
        <f>"62030-EH10A"</f>
        <v>62030-EH10A</v>
      </c>
      <c r="B6295" t="str">
        <f>"Усилитель переднего "</f>
        <v xml:space="preserve">Усилитель переднего </v>
      </c>
      <c r="C6295">
        <v>7</v>
      </c>
      <c r="D6295">
        <v>11581.487999999999</v>
      </c>
    </row>
    <row r="6296" spans="1:4">
      <c r="A6296" t="str">
        <f>"62030-EQ300"</f>
        <v>62030-EQ300</v>
      </c>
      <c r="B6296" t="str">
        <f>"REINFORCE-BUMPE"</f>
        <v>REINFORCE-BUMPE</v>
      </c>
      <c r="C6296">
        <v>0</v>
      </c>
      <c r="D6296">
        <v>4804.6080000000002</v>
      </c>
    </row>
    <row r="6297" spans="1:4">
      <c r="A6297" t="str">
        <f>"62030-JD000"</f>
        <v>62030-JD000</v>
      </c>
      <c r="B6297" t="str">
        <f>"Усилитель переднего "</f>
        <v xml:space="preserve">Усилитель переднего </v>
      </c>
      <c r="C6297">
        <v>4</v>
      </c>
      <c r="D6297">
        <v>8880.1200000000008</v>
      </c>
    </row>
    <row r="6298" spans="1:4">
      <c r="A6298" t="str">
        <f>"62030-JG00C"</f>
        <v>62030-JG00C</v>
      </c>
      <c r="B6298" t="str">
        <f>"Усилитель переднего "</f>
        <v xml:space="preserve">Усилитель переднего </v>
      </c>
      <c r="C6298">
        <v>6</v>
      </c>
      <c r="D6298">
        <v>8541.0720000000001</v>
      </c>
    </row>
    <row r="6299" spans="1:4">
      <c r="A6299" t="str">
        <f>"62030-JK000"</f>
        <v>62030-JK000</v>
      </c>
      <c r="B6299" t="str">
        <f>"Усилитель переднего "</f>
        <v xml:space="preserve">Усилитель переднего </v>
      </c>
      <c r="C6299">
        <v>2</v>
      </c>
      <c r="D6299">
        <v>4147.7280000000001</v>
      </c>
    </row>
    <row r="6300" spans="1:4">
      <c r="A6300" t="str">
        <f>"62030-JN20B"</f>
        <v>62030-JN20B</v>
      </c>
      <c r="B6300" t="str">
        <f>"Усилитель переднего "</f>
        <v xml:space="preserve">Усилитель переднего </v>
      </c>
      <c r="C6300">
        <v>3</v>
      </c>
      <c r="D6300">
        <v>4962.0959999999995</v>
      </c>
    </row>
    <row r="6301" spans="1:4">
      <c r="A6301" t="str">
        <f>"62032-3Y500"</f>
        <v>62032-3Y500</v>
      </c>
      <c r="B6301" t="str">
        <f>"REINFORCE-FRONT"</f>
        <v>REINFORCE-FRONT</v>
      </c>
      <c r="C6301">
        <v>1</v>
      </c>
      <c r="D6301">
        <v>6463.5359999999991</v>
      </c>
    </row>
    <row r="6302" spans="1:4">
      <c r="A6302" t="str">
        <f>"62032-9Y000"</f>
        <v>62032-9Y000</v>
      </c>
      <c r="B6302" t="str">
        <f>"Усилитель переднего "</f>
        <v xml:space="preserve">Усилитель переднего </v>
      </c>
      <c r="C6302">
        <v>2</v>
      </c>
      <c r="D6302">
        <v>4663.4399999999996</v>
      </c>
    </row>
    <row r="6303" spans="1:4">
      <c r="A6303" t="str">
        <f>"62036-7F000"</f>
        <v>62036-7F000</v>
      </c>
      <c r="B6303" t="str">
        <f>"REINFOTCE-FRONT"</f>
        <v>REINFOTCE-FRONT</v>
      </c>
      <c r="C6303">
        <v>1</v>
      </c>
      <c r="D6303">
        <v>2293.7759999999998</v>
      </c>
    </row>
    <row r="6304" spans="1:4">
      <c r="A6304" t="str">
        <f>"62037-7F000"</f>
        <v>62037-7F000</v>
      </c>
      <c r="B6304" t="str">
        <f>"REINFORCE-FRONT"</f>
        <v>REINFORCE-FRONT</v>
      </c>
      <c r="C6304">
        <v>2</v>
      </c>
      <c r="D6304">
        <v>2334.576</v>
      </c>
    </row>
    <row r="6305" spans="1:4">
      <c r="A6305" t="str">
        <f>"62040-2Y000"</f>
        <v>62040-2Y000</v>
      </c>
      <c r="B6305" t="str">
        <f>"BRACKET-FRONT B"</f>
        <v>BRACKET-FRONT B</v>
      </c>
      <c r="C6305">
        <v>11</v>
      </c>
      <c r="D6305">
        <v>3781.3439999999996</v>
      </c>
    </row>
    <row r="6306" spans="1:4">
      <c r="A6306" t="str">
        <f>"62042-JG00A"</f>
        <v>62042-JG00A</v>
      </c>
      <c r="B6306" t="str">
        <f t="shared" ref="B6306:B6312" si="119">"Кронштейн бампер"</f>
        <v>Кронштейн бампер</v>
      </c>
      <c r="C6306">
        <v>23</v>
      </c>
      <c r="D6306">
        <v>210.93600000000001</v>
      </c>
    </row>
    <row r="6307" spans="1:4">
      <c r="A6307" t="str">
        <f>"62044-7S600"</f>
        <v>62044-7S600</v>
      </c>
      <c r="B6307" t="str">
        <f t="shared" si="119"/>
        <v>Кронштейн бампер</v>
      </c>
      <c r="C6307">
        <v>3</v>
      </c>
      <c r="D6307">
        <v>1296.624</v>
      </c>
    </row>
    <row r="6308" spans="1:4">
      <c r="A6308" t="str">
        <f>"62044-95F0A"</f>
        <v>62044-95F0A</v>
      </c>
      <c r="B6308" t="str">
        <f t="shared" si="119"/>
        <v>Кронштейн бампер</v>
      </c>
      <c r="C6308">
        <v>32</v>
      </c>
      <c r="D6308">
        <v>571.19999999999993</v>
      </c>
    </row>
    <row r="6309" spans="1:4">
      <c r="A6309" t="str">
        <f>"62044-95F0B"</f>
        <v>62044-95F0B</v>
      </c>
      <c r="B6309" t="str">
        <f t="shared" si="119"/>
        <v>Кронштейн бампер</v>
      </c>
      <c r="C6309">
        <v>5</v>
      </c>
      <c r="D6309">
        <v>663.81599999999992</v>
      </c>
    </row>
    <row r="6310" spans="1:4">
      <c r="A6310" t="str">
        <f>"62044-9W50A"</f>
        <v>62044-9W50A</v>
      </c>
      <c r="B6310" t="str">
        <f t="shared" si="119"/>
        <v>Кронштейн бампер</v>
      </c>
      <c r="C6310">
        <v>1</v>
      </c>
      <c r="D6310">
        <v>267.23999999999995</v>
      </c>
    </row>
    <row r="6311" spans="1:4">
      <c r="A6311" t="str">
        <f>"62045-7S600"</f>
        <v>62045-7S600</v>
      </c>
      <c r="B6311" t="str">
        <f t="shared" si="119"/>
        <v>Кронштейн бампер</v>
      </c>
      <c r="C6311">
        <v>2</v>
      </c>
      <c r="D6311">
        <v>1350.8879999999999</v>
      </c>
    </row>
    <row r="6312" spans="1:4">
      <c r="A6312" t="str">
        <f>"62045-9W50A"</f>
        <v>62045-9W50A</v>
      </c>
      <c r="B6312" t="str">
        <f t="shared" si="119"/>
        <v>Кронштейн бампер</v>
      </c>
      <c r="C6312">
        <v>3</v>
      </c>
      <c r="D6312">
        <v>259.488</v>
      </c>
    </row>
    <row r="6313" spans="1:4">
      <c r="A6313" t="str">
        <f>"62046-0F010"</f>
        <v>62046-0F010</v>
      </c>
      <c r="B6313" t="str">
        <f>"BRACKET-FRONT B"</f>
        <v>BRACKET-FRONT B</v>
      </c>
      <c r="C6313">
        <v>2</v>
      </c>
      <c r="D6313">
        <v>315.79200000000003</v>
      </c>
    </row>
    <row r="6314" spans="1:4">
      <c r="A6314" t="str">
        <f>"62046-7F000"</f>
        <v>62046-7F000</v>
      </c>
      <c r="B6314" t="str">
        <f>"BRACKET-FRONT B"</f>
        <v>BRACKET-FRONT B</v>
      </c>
      <c r="C6314">
        <v>3</v>
      </c>
      <c r="D6314">
        <v>324.36</v>
      </c>
    </row>
    <row r="6315" spans="1:4">
      <c r="A6315" t="str">
        <f>"62046-95F0A"</f>
        <v>62046-95F0A</v>
      </c>
      <c r="B6315" t="str">
        <f t="shared" ref="B6315:B6320" si="120">"Кронштейн бампер"</f>
        <v>Кронштейн бампер</v>
      </c>
      <c r="C6315">
        <v>4</v>
      </c>
      <c r="D6315">
        <v>315.79200000000003</v>
      </c>
    </row>
    <row r="6316" spans="1:4">
      <c r="A6316" t="str">
        <f>"62047-95F0A"</f>
        <v>62047-95F0A</v>
      </c>
      <c r="B6316" t="str">
        <f t="shared" si="120"/>
        <v>Кронштейн бампер</v>
      </c>
      <c r="C6316">
        <v>9</v>
      </c>
      <c r="D6316">
        <v>317.42399999999998</v>
      </c>
    </row>
    <row r="6317" spans="1:4">
      <c r="A6317" t="str">
        <f>"62058-1CA0A"</f>
        <v>62058-1CA0A</v>
      </c>
      <c r="B6317" t="str">
        <f t="shared" si="120"/>
        <v>Кронштейн бампер</v>
      </c>
      <c r="C6317">
        <v>8</v>
      </c>
      <c r="D6317">
        <v>2133.0239999999999</v>
      </c>
    </row>
    <row r="6318" spans="1:4">
      <c r="A6318" t="str">
        <f>"62058-JK000"</f>
        <v>62058-JK000</v>
      </c>
      <c r="B6318" t="str">
        <f t="shared" si="120"/>
        <v>Кронштейн бампер</v>
      </c>
      <c r="C6318">
        <v>8</v>
      </c>
      <c r="D6318">
        <v>1099.9679999999998</v>
      </c>
    </row>
    <row r="6319" spans="1:4">
      <c r="A6319" t="str">
        <f>"62059-1CA0A"</f>
        <v>62059-1CA0A</v>
      </c>
      <c r="B6319" t="str">
        <f t="shared" si="120"/>
        <v>Кронштейн бампер</v>
      </c>
      <c r="C6319">
        <v>0</v>
      </c>
      <c r="D6319">
        <v>2206.4639999999999</v>
      </c>
    </row>
    <row r="6320" spans="1:4">
      <c r="A6320" t="str">
        <f>"62059-JK000"</f>
        <v>62059-JK000</v>
      </c>
      <c r="B6320" t="str">
        <f t="shared" si="120"/>
        <v>Кронштейн бампер</v>
      </c>
      <c r="C6320">
        <v>0</v>
      </c>
      <c r="D6320">
        <v>1084.056</v>
      </c>
    </row>
    <row r="6321" spans="1:4">
      <c r="A6321" t="str">
        <f>"62063-8H700"</f>
        <v>62063-8H700</v>
      </c>
      <c r="B6321" t="str">
        <f>"OVER RIDER ASSY"</f>
        <v>OVER RIDER ASSY</v>
      </c>
      <c r="C6321">
        <v>3</v>
      </c>
      <c r="D6321">
        <v>1246.848</v>
      </c>
    </row>
    <row r="6322" spans="1:4">
      <c r="A6322" t="str">
        <f>"62064-CA00A"</f>
        <v>62064-CA00A</v>
      </c>
      <c r="B6322" t="str">
        <f>"Кожух переднего бамп"</f>
        <v>Кожух переднего бамп</v>
      </c>
      <c r="C6322">
        <v>4</v>
      </c>
      <c r="D6322">
        <v>1991.04</v>
      </c>
    </row>
    <row r="6323" spans="1:4">
      <c r="A6323" t="str">
        <f>"62065-CA00A"</f>
        <v>62065-CA00A</v>
      </c>
      <c r="B6323" t="str">
        <f>"Кожух переднего бамп"</f>
        <v>Кожух переднего бамп</v>
      </c>
      <c r="C6323">
        <v>3</v>
      </c>
      <c r="D6323">
        <v>1691.1599999999999</v>
      </c>
    </row>
    <row r="6324" spans="1:4">
      <c r="A6324" t="str">
        <f>"62067-BC41A"</f>
        <v>62067-BC41A</v>
      </c>
      <c r="B6324" t="str">
        <f>"Кожух переднего бамп"</f>
        <v>Кожух переднего бамп</v>
      </c>
      <c r="C6324">
        <v>5</v>
      </c>
      <c r="D6324">
        <v>253.77599999999998</v>
      </c>
    </row>
    <row r="6325" spans="1:4">
      <c r="A6325" t="str">
        <f>"62068-CG000"</f>
        <v>62068-CG000</v>
      </c>
      <c r="B6325" t="str">
        <f>"BAR-FR BUMPER"</f>
        <v>BAR-FR BUMPER</v>
      </c>
      <c r="C6325">
        <v>1</v>
      </c>
      <c r="D6325">
        <v>3405.576</v>
      </c>
    </row>
    <row r="6326" spans="1:4">
      <c r="A6326" t="str">
        <f>"62069-08N00"</f>
        <v>62069-08N00</v>
      </c>
      <c r="B6326" t="str">
        <f>"Заглушка переднего б"</f>
        <v>Заглушка переднего б</v>
      </c>
      <c r="C6326">
        <v>1</v>
      </c>
      <c r="D6326">
        <v>1234.2</v>
      </c>
    </row>
    <row r="6327" spans="1:4">
      <c r="A6327" t="str">
        <f>"62070-1BF1A"</f>
        <v>62070-1BF1A</v>
      </c>
      <c r="B6327" t="str">
        <f>"Решетка радиатор"</f>
        <v>Решетка радиатор</v>
      </c>
      <c r="C6327">
        <v>6</v>
      </c>
      <c r="D6327">
        <v>16950.768</v>
      </c>
    </row>
    <row r="6328" spans="1:4">
      <c r="A6328" t="str">
        <f>"62070-1CJ5B"</f>
        <v>62070-1CJ5B</v>
      </c>
      <c r="B6328" t="str">
        <f>"Решетка радиатор"</f>
        <v>Решетка радиатор</v>
      </c>
      <c r="C6328">
        <v>5</v>
      </c>
      <c r="D6328">
        <v>10010.279999999999</v>
      </c>
    </row>
    <row r="6329" spans="1:4">
      <c r="A6329" t="str">
        <f>"62070-JK80B"</f>
        <v>62070-JK80B</v>
      </c>
      <c r="B6329" t="str">
        <f>"Решетка радиатор"</f>
        <v>Решетка радиатор</v>
      </c>
      <c r="C6329">
        <v>7</v>
      </c>
      <c r="D6329">
        <v>6695.28</v>
      </c>
    </row>
    <row r="6330" spans="1:4">
      <c r="A6330" t="str">
        <f>"62072-1KZ0A"</f>
        <v>62072-1KZ0A</v>
      </c>
      <c r="B6330" t="str">
        <f>"Решетка переднего ба"</f>
        <v>Решетка переднего ба</v>
      </c>
      <c r="C6330">
        <v>2</v>
      </c>
      <c r="D6330">
        <v>5156.3040000000001</v>
      </c>
    </row>
    <row r="6331" spans="1:4">
      <c r="A6331" t="str">
        <f>"62072-1KZ6A"</f>
        <v>62072-1KZ6A</v>
      </c>
      <c r="B6331" t="str">
        <f>"Молдинг переднего ба"</f>
        <v>Молдинг переднего ба</v>
      </c>
      <c r="C6331">
        <v>0</v>
      </c>
      <c r="D6331">
        <v>6783.8159999999998</v>
      </c>
    </row>
    <row r="6332" spans="1:4">
      <c r="A6332" t="str">
        <f>"62072-3Y100"</f>
        <v>62072-3Y100</v>
      </c>
      <c r="B6332" t="str">
        <f>"MOULDING-FRONT"</f>
        <v>MOULDING-FRONT</v>
      </c>
      <c r="C6332">
        <v>10</v>
      </c>
      <c r="D6332">
        <v>2350.8959999999997</v>
      </c>
    </row>
    <row r="6333" spans="1:4">
      <c r="A6333" t="str">
        <f>"62072-CL70B"</f>
        <v>62072-CL70B</v>
      </c>
      <c r="B6333" t="str">
        <f>"Молдинг переднего ба"</f>
        <v>Молдинг переднего ба</v>
      </c>
      <c r="C6333">
        <v>3</v>
      </c>
      <c r="D6333">
        <v>2774.808</v>
      </c>
    </row>
    <row r="6334" spans="1:4">
      <c r="A6334" t="str">
        <f>"62072-CM80A"</f>
        <v>62072-CM80A</v>
      </c>
      <c r="B6334" t="str">
        <f>"Молдинг переднего ба"</f>
        <v>Молдинг переднего ба</v>
      </c>
      <c r="C6334">
        <v>14</v>
      </c>
      <c r="D6334">
        <v>2757.2639999999997</v>
      </c>
    </row>
    <row r="6335" spans="1:4">
      <c r="A6335" t="str">
        <f>"62074-1KA0A"</f>
        <v>62074-1KA0A</v>
      </c>
      <c r="B6335" t="str">
        <f>"Решетка переднего ба"</f>
        <v>Решетка переднего ба</v>
      </c>
      <c r="C6335">
        <v>2</v>
      </c>
      <c r="D6335">
        <v>2671.1759999999999</v>
      </c>
    </row>
    <row r="6336" spans="1:4">
      <c r="A6336" t="str">
        <f>"62074-1KA6A"</f>
        <v>62074-1KA6A</v>
      </c>
      <c r="B6336" t="str">
        <f>"Молдинг переднего ба"</f>
        <v>Молдинг переднего ба</v>
      </c>
      <c r="C6336">
        <v>2</v>
      </c>
      <c r="D6336">
        <v>1311.7199999999998</v>
      </c>
    </row>
    <row r="6337" spans="1:4">
      <c r="A6337" t="str">
        <f>"62074-9W50A"</f>
        <v>62074-9W50A</v>
      </c>
      <c r="B6337" t="str">
        <f>"Молдинг переднего ба"</f>
        <v>Молдинг переднего ба</v>
      </c>
      <c r="C6337">
        <v>13</v>
      </c>
      <c r="D6337">
        <v>1306.8239999999998</v>
      </c>
    </row>
    <row r="6338" spans="1:4">
      <c r="A6338" t="str">
        <f>"62074-EM30A"</f>
        <v>62074-EM30A</v>
      </c>
      <c r="B6338" t="str">
        <f>"Молдинг переднего ба"</f>
        <v>Молдинг переднего ба</v>
      </c>
      <c r="C6338">
        <v>5</v>
      </c>
      <c r="D6338">
        <v>335.78399999999999</v>
      </c>
    </row>
    <row r="6339" spans="1:4">
      <c r="A6339" t="str">
        <f>"62074-JN00B"</f>
        <v>62074-JN00B</v>
      </c>
      <c r="B6339" t="str">
        <f>"Молдинг переднего ба"</f>
        <v>Молдинг переднего ба</v>
      </c>
      <c r="C6339">
        <v>12</v>
      </c>
      <c r="D6339">
        <v>1205.232</v>
      </c>
    </row>
    <row r="6340" spans="1:4">
      <c r="A6340" t="str">
        <f>"62074-JN90B"</f>
        <v>62074-JN90B</v>
      </c>
      <c r="B6340" t="str">
        <f>"Молдинг переднего ба"</f>
        <v>Молдинг переднего ба</v>
      </c>
      <c r="C6340">
        <v>9</v>
      </c>
      <c r="D6340">
        <v>1446.36</v>
      </c>
    </row>
    <row r="6341" spans="1:4">
      <c r="A6341" t="str">
        <f>"62075-1KA0A"</f>
        <v>62075-1KA0A</v>
      </c>
      <c r="B6341" t="str">
        <f>"Решетка переднего ба"</f>
        <v>Решетка переднего ба</v>
      </c>
      <c r="C6341">
        <v>2</v>
      </c>
      <c r="D6341">
        <v>2672.4</v>
      </c>
    </row>
    <row r="6342" spans="1:4">
      <c r="A6342" t="str">
        <f>"62075-1KA6A"</f>
        <v>62075-1KA6A</v>
      </c>
      <c r="B6342" t="str">
        <f>"MOULDING-FRONT"</f>
        <v>MOULDING-FRONT</v>
      </c>
      <c r="C6342">
        <v>0</v>
      </c>
      <c r="D6342">
        <v>1306.4159999999999</v>
      </c>
    </row>
    <row r="6343" spans="1:4">
      <c r="A6343" t="str">
        <f>"62075-9W50A"</f>
        <v>62075-9W50A</v>
      </c>
      <c r="B6343" t="str">
        <f>"Молдинг переднего ба"</f>
        <v>Молдинг переднего ба</v>
      </c>
      <c r="C6343">
        <v>20</v>
      </c>
      <c r="D6343">
        <v>1280.712</v>
      </c>
    </row>
    <row r="6344" spans="1:4">
      <c r="A6344" t="str">
        <f>"62075-BM400"</f>
        <v>62075-BM400</v>
      </c>
      <c r="B6344" t="str">
        <f>"MOULDING-FRONT"</f>
        <v>MOULDING-FRONT</v>
      </c>
      <c r="C6344">
        <v>4</v>
      </c>
      <c r="D6344">
        <v>1659.336</v>
      </c>
    </row>
    <row r="6345" spans="1:4">
      <c r="A6345" t="str">
        <f>"62075-EM30A"</f>
        <v>62075-EM30A</v>
      </c>
      <c r="B6345" t="str">
        <f>"Молдинг переднего ба"</f>
        <v>Молдинг переднего ба</v>
      </c>
      <c r="C6345">
        <v>33</v>
      </c>
      <c r="D6345">
        <v>405.96</v>
      </c>
    </row>
    <row r="6346" spans="1:4">
      <c r="A6346" t="str">
        <f>"62075-JN00B"</f>
        <v>62075-JN00B</v>
      </c>
      <c r="B6346" t="str">
        <f>"Молдинг переднего ба"</f>
        <v>Молдинг переднего ба</v>
      </c>
      <c r="C6346">
        <v>22</v>
      </c>
      <c r="D6346">
        <v>1236.6479999999999</v>
      </c>
    </row>
    <row r="6347" spans="1:4">
      <c r="A6347" t="str">
        <f>"62075-JN90B"</f>
        <v>62075-JN90B</v>
      </c>
      <c r="B6347" t="str">
        <f>"Молдинг переднего ба"</f>
        <v>Молдинг переднего ба</v>
      </c>
      <c r="C6347">
        <v>11</v>
      </c>
      <c r="D6347">
        <v>1363.5359999999998</v>
      </c>
    </row>
    <row r="6348" spans="1:4">
      <c r="A6348" t="str">
        <f>"62084-BR00A"</f>
        <v>62084-BR00A</v>
      </c>
      <c r="B6348" t="str">
        <f>"Молдинг бампера"</f>
        <v>Молдинг бампера</v>
      </c>
      <c r="C6348">
        <v>0</v>
      </c>
      <c r="D6348">
        <v>860.47199999999987</v>
      </c>
    </row>
    <row r="6349" spans="1:4">
      <c r="A6349" t="str">
        <f>"62086-1AN0H"</f>
        <v>62086-1AN0H</v>
      </c>
      <c r="B6349" t="str">
        <f>"Облицовка бампера пе"</f>
        <v>Облицовка бампера пе</v>
      </c>
      <c r="C6349">
        <v>7</v>
      </c>
      <c r="D6349">
        <v>360.26400000000001</v>
      </c>
    </row>
    <row r="6350" spans="1:4">
      <c r="A6350" t="str">
        <f>"62086-CA000"</f>
        <v>62086-CA000</v>
      </c>
      <c r="B6350" t="str">
        <f>"MOULDING-FR,RH"</f>
        <v>MOULDING-FR,RH</v>
      </c>
      <c r="C6350">
        <v>4</v>
      </c>
      <c r="D6350">
        <v>183.19199999999998</v>
      </c>
    </row>
    <row r="6351" spans="1:4">
      <c r="A6351" t="str">
        <f>"62086-EB300"</f>
        <v>62086-EB300</v>
      </c>
      <c r="B6351" t="str">
        <f>"MOULDING-FRONT"</f>
        <v>MOULDING-FRONT</v>
      </c>
      <c r="C6351">
        <v>2</v>
      </c>
      <c r="D6351">
        <v>735.21599999999989</v>
      </c>
    </row>
    <row r="6352" spans="1:4">
      <c r="A6352" t="str">
        <f>"62087-CA000"</f>
        <v>62087-CA000</v>
      </c>
      <c r="B6352" t="str">
        <f>"MOULDING-FR,LH"</f>
        <v>MOULDING-FR,LH</v>
      </c>
      <c r="C6352">
        <v>3</v>
      </c>
      <c r="D6352">
        <v>173.4</v>
      </c>
    </row>
    <row r="6353" spans="1:4">
      <c r="A6353" t="str">
        <f>"62087-CC000"</f>
        <v>62087-CC000</v>
      </c>
      <c r="B6353" t="str">
        <f>"Облицовка бампера пе"</f>
        <v>Облицовка бампера пе</v>
      </c>
      <c r="C6353">
        <v>3</v>
      </c>
      <c r="D6353">
        <v>149.328</v>
      </c>
    </row>
    <row r="6354" spans="1:4">
      <c r="A6354" t="str">
        <f>"62087-EB300"</f>
        <v>62087-EB300</v>
      </c>
      <c r="B6354" t="str">
        <f>"MOULDING-FRONT"</f>
        <v>MOULDING-FRONT</v>
      </c>
      <c r="C6354">
        <v>4</v>
      </c>
      <c r="D6354">
        <v>719.30399999999997</v>
      </c>
    </row>
    <row r="6355" spans="1:4">
      <c r="A6355" t="str">
        <f>"62090-1AN1A"</f>
        <v>62090-1AN1A</v>
      </c>
      <c r="B6355" t="str">
        <f>"Наполнитель бампера "</f>
        <v xml:space="preserve">Наполнитель бампера </v>
      </c>
      <c r="C6355">
        <v>8</v>
      </c>
      <c r="D6355">
        <v>2051.8319999999999</v>
      </c>
    </row>
    <row r="6356" spans="1:4">
      <c r="A6356" t="str">
        <f>"62090-1AT0A"</f>
        <v>62090-1AT0A</v>
      </c>
      <c r="B6356" t="str">
        <f>"Наполнитель бампера "</f>
        <v xml:space="preserve">Наполнитель бампера </v>
      </c>
      <c r="C6356">
        <v>1</v>
      </c>
      <c r="D6356">
        <v>1976.7599999999998</v>
      </c>
    </row>
    <row r="6357" spans="1:4">
      <c r="A6357" t="str">
        <f>"62090-1CH0A"</f>
        <v>62090-1CH0A</v>
      </c>
      <c r="B6357" t="str">
        <f>"Наполнитель бампера "</f>
        <v xml:space="preserve">Наполнитель бампера </v>
      </c>
      <c r="C6357">
        <v>13</v>
      </c>
      <c r="D6357">
        <v>3648.7439999999997</v>
      </c>
    </row>
    <row r="6358" spans="1:4">
      <c r="A6358" t="str">
        <f>"62090-1KA0A"</f>
        <v>62090-1KA0A</v>
      </c>
      <c r="B6358" t="str">
        <f>"Наполнитель бампера "</f>
        <v xml:space="preserve">Наполнитель бампера </v>
      </c>
      <c r="C6358">
        <v>0</v>
      </c>
      <c r="D6358">
        <v>2629.56</v>
      </c>
    </row>
    <row r="6359" spans="1:4">
      <c r="A6359" t="str">
        <f>"62090-1KA1A"</f>
        <v>62090-1KA1A</v>
      </c>
      <c r="B6359" t="str">
        <f>"ENERGY ABSORBER"</f>
        <v>ENERGY ABSORBER</v>
      </c>
      <c r="C6359">
        <v>0</v>
      </c>
      <c r="D6359">
        <v>2896.7999999999997</v>
      </c>
    </row>
    <row r="6360" spans="1:4">
      <c r="A6360" t="str">
        <f>"62090-3UP0A"</f>
        <v>62090-3UP0A</v>
      </c>
      <c r="B6360" t="str">
        <f>"ENERGY ABSORBER"</f>
        <v>ENERGY ABSORBER</v>
      </c>
      <c r="C6360">
        <v>0</v>
      </c>
      <c r="D6360">
        <v>2838.0479999999998</v>
      </c>
    </row>
    <row r="6361" spans="1:4">
      <c r="A6361" t="str">
        <f>"62090-3Y500"</f>
        <v>62090-3Y500</v>
      </c>
      <c r="B6361" t="str">
        <f>"ENERGY ABSORBER"</f>
        <v>ENERGY ABSORBER</v>
      </c>
      <c r="C6361">
        <v>6</v>
      </c>
      <c r="D6361">
        <v>3299.0879999999997</v>
      </c>
    </row>
    <row r="6362" spans="1:4">
      <c r="A6362" t="str">
        <f>"62090-95F0A"</f>
        <v>62090-95F0A</v>
      </c>
      <c r="B6362" t="str">
        <f>"Наполнитель бампера "</f>
        <v xml:space="preserve">Наполнитель бампера </v>
      </c>
      <c r="C6362">
        <v>31</v>
      </c>
      <c r="D6362">
        <v>3188.52</v>
      </c>
    </row>
    <row r="6363" spans="1:4">
      <c r="A6363" t="str">
        <f>"62090-9U01A"</f>
        <v>62090-9U01A</v>
      </c>
      <c r="B6363" t="str">
        <f>"Наполнитель бампера "</f>
        <v xml:space="preserve">Наполнитель бампера </v>
      </c>
      <c r="C6363">
        <v>5</v>
      </c>
      <c r="D6363">
        <v>4205.2560000000003</v>
      </c>
    </row>
    <row r="6364" spans="1:4">
      <c r="A6364" t="str">
        <f>"62090-9W50A"</f>
        <v>62090-9W50A</v>
      </c>
      <c r="B6364" t="str">
        <f>"Наполнитель бампера "</f>
        <v xml:space="preserve">Наполнитель бампера </v>
      </c>
      <c r="C6364">
        <v>1</v>
      </c>
      <c r="D6364">
        <v>2842.944</v>
      </c>
    </row>
    <row r="6365" spans="1:4">
      <c r="A6365" t="str">
        <f>"62090-AU300"</f>
        <v>62090-AU300</v>
      </c>
      <c r="B6365" t="str">
        <f>"ENERGY ABSORBER"</f>
        <v>ENERGY ABSORBER</v>
      </c>
      <c r="C6365">
        <v>4</v>
      </c>
      <c r="D6365">
        <v>2454.5279999999998</v>
      </c>
    </row>
    <row r="6366" spans="1:4">
      <c r="A6366" t="str">
        <f>"62090-BC400"</f>
        <v>62090-BC400</v>
      </c>
      <c r="B6366" t="str">
        <f>"ENERGY ABSORBER"</f>
        <v>ENERGY ABSORBER</v>
      </c>
      <c r="C6366">
        <v>2</v>
      </c>
      <c r="D6366">
        <v>1526.7359999999999</v>
      </c>
    </row>
    <row r="6367" spans="1:4">
      <c r="A6367" t="str">
        <f>"62090-BH00H"</f>
        <v>62090-BH00H</v>
      </c>
      <c r="B6367" t="str">
        <f>"Наполнитель бампера "</f>
        <v xml:space="preserve">Наполнитель бампера </v>
      </c>
      <c r="C6367">
        <v>4</v>
      </c>
      <c r="D6367">
        <v>4082.8559999999998</v>
      </c>
    </row>
    <row r="6368" spans="1:4">
      <c r="A6368" t="str">
        <f>"62090-BR00A"</f>
        <v>62090-BR00A</v>
      </c>
      <c r="B6368" t="str">
        <f>"Наполнитель бампера "</f>
        <v xml:space="preserve">Наполнитель бампера </v>
      </c>
      <c r="C6368">
        <v>0</v>
      </c>
      <c r="D6368">
        <v>2690.76</v>
      </c>
    </row>
    <row r="6369" spans="1:4">
      <c r="A6369" t="str">
        <f>"62090-BR01A"</f>
        <v>62090-BR01A</v>
      </c>
      <c r="B6369" t="str">
        <f>"Наполнитель бампера "</f>
        <v xml:space="preserve">Наполнитель бампера </v>
      </c>
      <c r="C6369">
        <v>1</v>
      </c>
      <c r="D6369">
        <v>2301.12</v>
      </c>
    </row>
    <row r="6370" spans="1:4">
      <c r="A6370" t="str">
        <f>"62090-CA000"</f>
        <v>62090-CA000</v>
      </c>
      <c r="B6370" t="str">
        <f>"ENERGY ABSORBER"</f>
        <v>ENERGY ABSORBER</v>
      </c>
      <c r="C6370">
        <v>2</v>
      </c>
      <c r="D6370">
        <v>1866.192</v>
      </c>
    </row>
    <row r="6371" spans="1:4">
      <c r="A6371" t="str">
        <f>"62090-CC000"</f>
        <v>62090-CC000</v>
      </c>
      <c r="B6371" t="str">
        <f t="shared" ref="B6371:B6376" si="121">"Наполнитель бампера "</f>
        <v xml:space="preserve">Наполнитель бампера </v>
      </c>
      <c r="C6371">
        <v>4</v>
      </c>
      <c r="D6371">
        <v>1915.56</v>
      </c>
    </row>
    <row r="6372" spans="1:4">
      <c r="A6372" t="str">
        <f>"62090-CG80A"</f>
        <v>62090-CG80A</v>
      </c>
      <c r="B6372" t="str">
        <f t="shared" si="121"/>
        <v xml:space="preserve">Наполнитель бампера </v>
      </c>
      <c r="C6372">
        <v>3</v>
      </c>
      <c r="D6372">
        <v>2055.096</v>
      </c>
    </row>
    <row r="6373" spans="1:4">
      <c r="A6373" t="str">
        <f>"62090-CL70A"</f>
        <v>62090-CL70A</v>
      </c>
      <c r="B6373" t="str">
        <f t="shared" si="121"/>
        <v xml:space="preserve">Наполнитель бампера </v>
      </c>
      <c r="C6373">
        <v>7</v>
      </c>
      <c r="D6373">
        <v>2824.9919999999997</v>
      </c>
    </row>
    <row r="6374" spans="1:4">
      <c r="A6374" t="str">
        <f>"62090-EJ30A"</f>
        <v>62090-EJ30A</v>
      </c>
      <c r="B6374" t="str">
        <f t="shared" si="121"/>
        <v xml:space="preserve">Наполнитель бампера </v>
      </c>
      <c r="C6374">
        <v>2</v>
      </c>
      <c r="D6374">
        <v>3817.2479999999996</v>
      </c>
    </row>
    <row r="6375" spans="1:4">
      <c r="A6375" t="str">
        <f>"62090-EM00A"</f>
        <v>62090-EM00A</v>
      </c>
      <c r="B6375" t="str">
        <f t="shared" si="121"/>
        <v xml:space="preserve">Наполнитель бампера </v>
      </c>
      <c r="C6375">
        <v>8</v>
      </c>
      <c r="D6375">
        <v>2092.6319999999996</v>
      </c>
    </row>
    <row r="6376" spans="1:4">
      <c r="A6376" t="str">
        <f>"62090-EM00B"</f>
        <v>62090-EM00B</v>
      </c>
      <c r="B6376" t="str">
        <f t="shared" si="121"/>
        <v xml:space="preserve">Наполнитель бампера </v>
      </c>
      <c r="C6376">
        <v>3</v>
      </c>
      <c r="D6376">
        <v>3127.7280000000001</v>
      </c>
    </row>
    <row r="6377" spans="1:4">
      <c r="A6377" t="str">
        <f>"62090-EQ300"</f>
        <v>62090-EQ300</v>
      </c>
      <c r="B6377" t="str">
        <f>"ENERGY ABSORBER"</f>
        <v>ENERGY ABSORBER</v>
      </c>
      <c r="C6377">
        <v>2</v>
      </c>
      <c r="D6377">
        <v>1874.7599999999998</v>
      </c>
    </row>
    <row r="6378" spans="1:4">
      <c r="A6378" t="str">
        <f>"62090-JD000"</f>
        <v>62090-JD000</v>
      </c>
      <c r="B6378" t="str">
        <f t="shared" ref="B6378:B6385" si="122">"Наполнитель бампера "</f>
        <v xml:space="preserve">Наполнитель бампера </v>
      </c>
      <c r="C6378">
        <v>9</v>
      </c>
      <c r="D6378">
        <v>2928.6239999999998</v>
      </c>
    </row>
    <row r="6379" spans="1:4">
      <c r="A6379" t="str">
        <f>"62090-JD001"</f>
        <v>62090-JD001</v>
      </c>
      <c r="B6379" t="str">
        <f t="shared" si="122"/>
        <v xml:space="preserve">Наполнитель бампера </v>
      </c>
      <c r="C6379">
        <v>0</v>
      </c>
      <c r="D6379">
        <v>1989.4079999999999</v>
      </c>
    </row>
    <row r="6380" spans="1:4">
      <c r="A6380" t="str">
        <f>"62090-JG00A"</f>
        <v>62090-JG00A</v>
      </c>
      <c r="B6380" t="str">
        <f t="shared" si="122"/>
        <v xml:space="preserve">Наполнитель бампера </v>
      </c>
      <c r="C6380">
        <v>0</v>
      </c>
      <c r="D6380">
        <v>2696.0639999999999</v>
      </c>
    </row>
    <row r="6381" spans="1:4">
      <c r="A6381" t="str">
        <f>"62090-JK000"</f>
        <v>62090-JK000</v>
      </c>
      <c r="B6381" t="str">
        <f t="shared" si="122"/>
        <v xml:space="preserve">Наполнитель бампера </v>
      </c>
      <c r="C6381">
        <v>2</v>
      </c>
      <c r="D6381">
        <v>3649.152</v>
      </c>
    </row>
    <row r="6382" spans="1:4">
      <c r="A6382" t="str">
        <f>"62090-JN20A"</f>
        <v>62090-JN20A</v>
      </c>
      <c r="B6382" t="str">
        <f t="shared" si="122"/>
        <v xml:space="preserve">Наполнитель бампера </v>
      </c>
      <c r="C6382">
        <v>4</v>
      </c>
      <c r="D6382">
        <v>3259.9199999999996</v>
      </c>
    </row>
    <row r="6383" spans="1:4">
      <c r="A6383" t="str">
        <f>"62090-ZW10A"</f>
        <v>62090-ZW10A</v>
      </c>
      <c r="B6383" t="str">
        <f t="shared" si="122"/>
        <v xml:space="preserve">Наполнитель бампера </v>
      </c>
      <c r="C6383">
        <v>5</v>
      </c>
      <c r="D6383">
        <v>1294.5839999999998</v>
      </c>
    </row>
    <row r="6384" spans="1:4">
      <c r="A6384" t="str">
        <f>"62092-EB30A"</f>
        <v>62092-EB30A</v>
      </c>
      <c r="B6384" t="str">
        <f t="shared" si="122"/>
        <v xml:space="preserve">Наполнитель бампера </v>
      </c>
      <c r="C6384">
        <v>4</v>
      </c>
      <c r="D6384">
        <v>819.26400000000001</v>
      </c>
    </row>
    <row r="6385" spans="1:4">
      <c r="A6385" t="str">
        <f>"62093-EB30A"</f>
        <v>62093-EB30A</v>
      </c>
      <c r="B6385" t="str">
        <f t="shared" si="122"/>
        <v xml:space="preserve">Наполнитель бампера </v>
      </c>
      <c r="C6385">
        <v>4</v>
      </c>
      <c r="D6385">
        <v>816.40800000000002</v>
      </c>
    </row>
    <row r="6386" spans="1:4">
      <c r="A6386" t="str">
        <f>"62094-70N00"</f>
        <v>62094-70N00</v>
      </c>
      <c r="B6386" t="str">
        <f>"SPACER-BUMPER S"</f>
        <v>SPACER-BUMPER S</v>
      </c>
      <c r="C6386">
        <v>3</v>
      </c>
      <c r="D6386">
        <v>22.439999999999998</v>
      </c>
    </row>
    <row r="6387" spans="1:4">
      <c r="A6387" t="str">
        <f>"62094-AU000"</f>
        <v>62094-AU000</v>
      </c>
      <c r="B6387" t="str">
        <f>"SPACER"</f>
        <v>SPACER</v>
      </c>
      <c r="C6387">
        <v>4</v>
      </c>
      <c r="D6387">
        <v>137.08799999999999</v>
      </c>
    </row>
    <row r="6388" spans="1:4">
      <c r="A6388" t="str">
        <f>"62095-70N00"</f>
        <v>62095-70N00</v>
      </c>
      <c r="B6388" t="str">
        <f>"SPACER-BUMPER S"</f>
        <v>SPACER-BUMPER S</v>
      </c>
      <c r="C6388">
        <v>3</v>
      </c>
      <c r="D6388">
        <v>22.439999999999998</v>
      </c>
    </row>
    <row r="6389" spans="1:4">
      <c r="A6389" t="str">
        <f>"62095-95F0A"</f>
        <v>62095-95F0A</v>
      </c>
      <c r="B6389" t="str">
        <f>"Кронштейн бампер"</f>
        <v>Кронштейн бампер</v>
      </c>
      <c r="C6389">
        <v>6</v>
      </c>
      <c r="D6389">
        <v>1060.8</v>
      </c>
    </row>
    <row r="6390" spans="1:4">
      <c r="A6390" t="str">
        <f>"62095-95F0B"</f>
        <v>62095-95F0B</v>
      </c>
      <c r="B6390" t="str">
        <f>"Кронштейн бампер"</f>
        <v>Кронштейн бампер</v>
      </c>
      <c r="C6390">
        <v>7</v>
      </c>
      <c r="D6390">
        <v>1253.376</v>
      </c>
    </row>
    <row r="6391" spans="1:4">
      <c r="A6391" t="str">
        <f>"62210-3Y100"</f>
        <v>62210-3Y100</v>
      </c>
      <c r="B6391" t="str">
        <f>"STAY-BUMPER"</f>
        <v>STAY-BUMPER</v>
      </c>
      <c r="C6391">
        <v>1</v>
      </c>
      <c r="D6391">
        <v>1281.528</v>
      </c>
    </row>
    <row r="6392" spans="1:4">
      <c r="A6392" t="str">
        <f>"62210-8H300"</f>
        <v>62210-8H300</v>
      </c>
      <c r="B6392" t="str">
        <f>"STAY-BUMPER"</f>
        <v>STAY-BUMPER</v>
      </c>
      <c r="C6392">
        <v>1</v>
      </c>
      <c r="D6392">
        <v>1203.5999999999999</v>
      </c>
    </row>
    <row r="6393" spans="1:4">
      <c r="A6393" t="str">
        <f>"62210-9Y000"</f>
        <v>62210-9Y000</v>
      </c>
      <c r="B6393" t="str">
        <f>"Кронштейн бампер"</f>
        <v>Кронштейн бампер</v>
      </c>
      <c r="C6393">
        <v>0</v>
      </c>
      <c r="D6393">
        <v>1537.3439999999998</v>
      </c>
    </row>
    <row r="6394" spans="1:4">
      <c r="A6394" t="str">
        <f>"62210-AU330"</f>
        <v>62210-AU330</v>
      </c>
      <c r="B6394" t="str">
        <f>"STAY-FRONT BUMP"</f>
        <v>STAY-FRONT BUMP</v>
      </c>
      <c r="C6394">
        <v>4</v>
      </c>
      <c r="D6394">
        <v>1327.2239999999999</v>
      </c>
    </row>
    <row r="6395" spans="1:4">
      <c r="A6395" t="str">
        <f>"62210-AX000"</f>
        <v>62210-AX000</v>
      </c>
      <c r="B6395" t="str">
        <f>"STAY-BUMPER"</f>
        <v>STAY-BUMPER</v>
      </c>
      <c r="C6395">
        <v>7</v>
      </c>
      <c r="D6395">
        <v>1306.8239999999998</v>
      </c>
    </row>
    <row r="6396" spans="1:4">
      <c r="A6396" t="str">
        <f>"62210-BN730"</f>
        <v>62210-BN730</v>
      </c>
      <c r="B6396" t="str">
        <f>"STAY-FRONT BUMP"</f>
        <v>STAY-FRONT BUMP</v>
      </c>
      <c r="C6396">
        <v>1</v>
      </c>
      <c r="D6396">
        <v>1287.6479999999999</v>
      </c>
    </row>
    <row r="6397" spans="1:4">
      <c r="A6397" t="str">
        <f>"62210-CA000"</f>
        <v>62210-CA000</v>
      </c>
      <c r="B6397" t="str">
        <f>"STAY-BUMPER"</f>
        <v>STAY-BUMPER</v>
      </c>
      <c r="C6397">
        <v>1</v>
      </c>
      <c r="D6397">
        <v>2830.7040000000002</v>
      </c>
    </row>
    <row r="6398" spans="1:4">
      <c r="A6398" t="str">
        <f>"62210-CG000"</f>
        <v>62210-CG000</v>
      </c>
      <c r="B6398" t="str">
        <f>"STAY-BUMPER"</f>
        <v>STAY-BUMPER</v>
      </c>
      <c r="C6398">
        <v>3</v>
      </c>
      <c r="D6398">
        <v>1390.4639999999999</v>
      </c>
    </row>
    <row r="6399" spans="1:4">
      <c r="A6399" t="str">
        <f>"62210-JN00A"</f>
        <v>62210-JN00A</v>
      </c>
      <c r="B6399" t="str">
        <f>"Кронштейн бампер"</f>
        <v>Кронштейн бампер</v>
      </c>
      <c r="C6399">
        <v>0</v>
      </c>
      <c r="D6399">
        <v>1730.328</v>
      </c>
    </row>
    <row r="6400" spans="1:4">
      <c r="A6400" t="str">
        <f>"62211-1AA0A"</f>
        <v>62211-1AA0A</v>
      </c>
      <c r="B6400" t="str">
        <f>"STAY-FRONT BUMP"</f>
        <v>STAY-FRONT BUMP</v>
      </c>
      <c r="C6400">
        <v>0</v>
      </c>
      <c r="D6400">
        <v>3034.7040000000002</v>
      </c>
    </row>
    <row r="6401" spans="1:4">
      <c r="A6401" t="str">
        <f>"62211-3Y100"</f>
        <v>62211-3Y100</v>
      </c>
      <c r="B6401" t="str">
        <f>"STAY-BUMPER"</f>
        <v>STAY-BUMPER</v>
      </c>
      <c r="C6401">
        <v>2</v>
      </c>
      <c r="D6401">
        <v>976.75199999999995</v>
      </c>
    </row>
    <row r="6402" spans="1:4">
      <c r="A6402" t="str">
        <f>"62211-8H300"</f>
        <v>62211-8H300</v>
      </c>
      <c r="B6402" t="str">
        <f>"STAY-BUMPER"</f>
        <v>STAY-BUMPER</v>
      </c>
      <c r="C6402">
        <v>3</v>
      </c>
      <c r="D6402">
        <v>1123.6320000000001</v>
      </c>
    </row>
    <row r="6403" spans="1:4">
      <c r="A6403" t="str">
        <f>"62211-9Y000"</f>
        <v>62211-9Y000</v>
      </c>
      <c r="B6403" t="str">
        <f>"Кронштейн бампер"</f>
        <v>Кронштейн бампер</v>
      </c>
      <c r="C6403">
        <v>1</v>
      </c>
      <c r="D6403">
        <v>1541.8319999999999</v>
      </c>
    </row>
    <row r="6404" spans="1:4">
      <c r="A6404" t="str">
        <f>"62211-AU330"</f>
        <v>62211-AU330</v>
      </c>
      <c r="B6404" t="str">
        <f>"STAY-FRONT BUMP"</f>
        <v>STAY-FRONT BUMP</v>
      </c>
      <c r="C6404">
        <v>3</v>
      </c>
      <c r="D6404">
        <v>1411.2719999999999</v>
      </c>
    </row>
    <row r="6405" spans="1:4">
      <c r="A6405" t="str">
        <f>"62211-CA000"</f>
        <v>62211-CA000</v>
      </c>
      <c r="B6405" t="str">
        <f>"STAY-BUMPER"</f>
        <v>STAY-BUMPER</v>
      </c>
      <c r="C6405">
        <v>1</v>
      </c>
      <c r="D6405">
        <v>2503.08</v>
      </c>
    </row>
    <row r="6406" spans="1:4">
      <c r="A6406" t="str">
        <f>"62211-CG000"</f>
        <v>62211-CG000</v>
      </c>
      <c r="B6406" t="str">
        <f>"STAY-BUMPER"</f>
        <v>STAY-BUMPER</v>
      </c>
      <c r="C6406">
        <v>4</v>
      </c>
      <c r="D6406">
        <v>1385.1599999999999</v>
      </c>
    </row>
    <row r="6407" spans="1:4">
      <c r="A6407" t="str">
        <f>"62212-7S600"</f>
        <v>62212-7S600</v>
      </c>
      <c r="B6407" t="str">
        <f>"Кронштейн бампер"</f>
        <v>Кронштейн бампер</v>
      </c>
      <c r="C6407">
        <v>1</v>
      </c>
      <c r="D6407">
        <v>474.91199999999998</v>
      </c>
    </row>
    <row r="6408" spans="1:4">
      <c r="A6408" t="str">
        <f>"62212-BN700"</f>
        <v>62212-BN700</v>
      </c>
      <c r="B6408" t="str">
        <f>"STAY-FRONT BUMP"</f>
        <v>STAY-FRONT BUMP</v>
      </c>
      <c r="C6408">
        <v>3</v>
      </c>
      <c r="D6408">
        <v>464.71199999999999</v>
      </c>
    </row>
    <row r="6409" spans="1:4">
      <c r="A6409" t="str">
        <f>"62213-BN700"</f>
        <v>62213-BN700</v>
      </c>
      <c r="B6409" t="str">
        <f>"STAY-FRONT BUMP"</f>
        <v>STAY-FRONT BUMP</v>
      </c>
      <c r="C6409">
        <v>4</v>
      </c>
      <c r="D6409">
        <v>494.08799999999997</v>
      </c>
    </row>
    <row r="6410" spans="1:4">
      <c r="A6410" t="str">
        <f>"62214-AU330"</f>
        <v>62214-AU330</v>
      </c>
      <c r="B6410" t="str">
        <f>"Кронштейн бампер"</f>
        <v>Кронштейн бампер</v>
      </c>
      <c r="C6410">
        <v>2</v>
      </c>
      <c r="D6410">
        <v>792.74400000000003</v>
      </c>
    </row>
    <row r="6411" spans="1:4">
      <c r="A6411" t="str">
        <f>"62214-BN700"</f>
        <v>62214-BN700</v>
      </c>
      <c r="B6411" t="str">
        <f>"STAY-FRONT BUMP"</f>
        <v>STAY-FRONT BUMP</v>
      </c>
      <c r="C6411">
        <v>13</v>
      </c>
      <c r="D6411">
        <v>361.08</v>
      </c>
    </row>
    <row r="6412" spans="1:4">
      <c r="A6412" t="str">
        <f>"62215-AU330"</f>
        <v>62215-AU330</v>
      </c>
      <c r="B6412" t="str">
        <f>"Кронштейн бампер"</f>
        <v>Кронштейн бампер</v>
      </c>
      <c r="C6412">
        <v>1</v>
      </c>
      <c r="D6412">
        <v>878.01599999999996</v>
      </c>
    </row>
    <row r="6413" spans="1:4">
      <c r="A6413" t="str">
        <f>"62215-BN700"</f>
        <v>62215-BN700</v>
      </c>
      <c r="B6413" t="str">
        <f>"STAY-FRONT BUMP"</f>
        <v>STAY-FRONT BUMP</v>
      </c>
      <c r="C6413">
        <v>35</v>
      </c>
      <c r="D6413">
        <v>362.30400000000003</v>
      </c>
    </row>
    <row r="6414" spans="1:4">
      <c r="A6414" t="str">
        <f>"62216-8H300"</f>
        <v>62216-8H300</v>
      </c>
      <c r="B6414" t="str">
        <f>"BRACKET"</f>
        <v>BRACKET</v>
      </c>
      <c r="C6414">
        <v>4</v>
      </c>
      <c r="D6414">
        <v>859.24799999999993</v>
      </c>
    </row>
    <row r="6415" spans="1:4">
      <c r="A6415" t="str">
        <f>"62217-8H300"</f>
        <v>62217-8H300</v>
      </c>
      <c r="B6415" t="str">
        <f>"BRACKET"</f>
        <v>BRACKET</v>
      </c>
      <c r="C6415">
        <v>6</v>
      </c>
      <c r="D6415">
        <v>773.16</v>
      </c>
    </row>
    <row r="6416" spans="1:4">
      <c r="A6416" t="str">
        <f>"62220-1CA0A"</f>
        <v>62220-1CA0A</v>
      </c>
      <c r="B6416" t="str">
        <f>"Кронштейн бампер"</f>
        <v>Кронштейн бампер</v>
      </c>
      <c r="C6416">
        <v>9</v>
      </c>
      <c r="D6416">
        <v>521.01599999999996</v>
      </c>
    </row>
    <row r="6417" spans="1:4">
      <c r="A6417" t="str">
        <f>"62220-1LB0A"</f>
        <v>62220-1LB0A</v>
      </c>
      <c r="B6417" t="str">
        <f>"Кронштейн бампер"</f>
        <v>Кронштейн бампер</v>
      </c>
      <c r="C6417">
        <v>2</v>
      </c>
      <c r="D6417">
        <v>552.83999999999992</v>
      </c>
    </row>
    <row r="6418" spans="1:4">
      <c r="A6418" t="str">
        <f>"62220-2Y001"</f>
        <v>62220-2Y001</v>
      </c>
      <c r="B6418" t="str">
        <f>"BRACKET-BUMPER"</f>
        <v>BRACKET-BUMPER</v>
      </c>
      <c r="C6418">
        <v>0</v>
      </c>
      <c r="D6418">
        <v>246.024</v>
      </c>
    </row>
    <row r="6419" spans="1:4">
      <c r="A6419" t="str">
        <f>"62220-9U00A"</f>
        <v>62220-9U00A</v>
      </c>
      <c r="B6419" t="str">
        <f>"Кронштейн бампер"</f>
        <v>Кронштейн бампер</v>
      </c>
      <c r="C6419">
        <v>8</v>
      </c>
      <c r="D6419">
        <v>361.08</v>
      </c>
    </row>
    <row r="6420" spans="1:4">
      <c r="A6420" t="str">
        <f>"62220-9Y000"</f>
        <v>62220-9Y000</v>
      </c>
      <c r="B6420" t="str">
        <f>"Кронштейн бампер"</f>
        <v>Кронштейн бампер</v>
      </c>
      <c r="C6420">
        <v>4</v>
      </c>
      <c r="D6420">
        <v>247.24799999999999</v>
      </c>
    </row>
    <row r="6421" spans="1:4">
      <c r="A6421" t="str">
        <f>"62220-CG000"</f>
        <v>62220-CG000</v>
      </c>
      <c r="B6421" t="str">
        <f>"BRACKET-BUMPER"</f>
        <v>BRACKET-BUMPER</v>
      </c>
      <c r="C6421">
        <v>10</v>
      </c>
      <c r="D6421">
        <v>263.976</v>
      </c>
    </row>
    <row r="6422" spans="1:4">
      <c r="A6422" t="str">
        <f>"62220-EG000"</f>
        <v>62220-EG000</v>
      </c>
      <c r="B6422" t="str">
        <f>"Кронштейн бампер"</f>
        <v>Кронштейн бампер</v>
      </c>
      <c r="C6422">
        <v>3</v>
      </c>
      <c r="D6422">
        <v>538.15199999999993</v>
      </c>
    </row>
    <row r="6423" spans="1:4">
      <c r="A6423" t="str">
        <f>"62220-JN20A"</f>
        <v>62220-JN20A</v>
      </c>
      <c r="B6423" t="str">
        <f>"Кронштейн бампер"</f>
        <v>Кронштейн бампер</v>
      </c>
      <c r="C6423">
        <v>4</v>
      </c>
      <c r="D6423">
        <v>539.37599999999998</v>
      </c>
    </row>
    <row r="6424" spans="1:4">
      <c r="A6424" t="str">
        <f>"62220-VD210"</f>
        <v>62220-VD210</v>
      </c>
      <c r="B6424" t="str">
        <f>"BRACKET-BUMPER"</f>
        <v>BRACKET-BUMPER</v>
      </c>
      <c r="C6424">
        <v>1</v>
      </c>
      <c r="D6424">
        <v>578.54399999999998</v>
      </c>
    </row>
    <row r="6425" spans="1:4">
      <c r="A6425" t="str">
        <f>"62221-1CA0A"</f>
        <v>62221-1CA0A</v>
      </c>
      <c r="B6425" t="str">
        <f>"Кронштейн бампер"</f>
        <v>Кронштейн бампер</v>
      </c>
      <c r="C6425">
        <v>0</v>
      </c>
      <c r="D6425">
        <v>523.46400000000006</v>
      </c>
    </row>
    <row r="6426" spans="1:4">
      <c r="A6426" t="str">
        <f>"62221-1LB0A"</f>
        <v>62221-1LB0A</v>
      </c>
      <c r="B6426" t="str">
        <f>"Кронштейн бампер"</f>
        <v>Кронштейн бампер</v>
      </c>
      <c r="C6426">
        <v>2</v>
      </c>
      <c r="D6426">
        <v>548.35199999999998</v>
      </c>
    </row>
    <row r="6427" spans="1:4">
      <c r="A6427" t="str">
        <f>"62221-2Y001"</f>
        <v>62221-2Y001</v>
      </c>
      <c r="B6427" t="str">
        <f>"BRACKET-BUMPER"</f>
        <v>BRACKET-BUMPER</v>
      </c>
      <c r="C6427">
        <v>0</v>
      </c>
      <c r="D6427">
        <v>423.09599999999995</v>
      </c>
    </row>
    <row r="6428" spans="1:4">
      <c r="A6428" t="str">
        <f>"62221-9Y000"</f>
        <v>62221-9Y000</v>
      </c>
      <c r="B6428" t="str">
        <f>"Кронштейн бампер"</f>
        <v>Кронштейн бампер</v>
      </c>
      <c r="C6428">
        <v>18</v>
      </c>
      <c r="D6428">
        <v>239.49600000000001</v>
      </c>
    </row>
    <row r="6429" spans="1:4">
      <c r="A6429" t="str">
        <f>"62221-CG000"</f>
        <v>62221-CG000</v>
      </c>
      <c r="B6429" t="str">
        <f>"BRACKET-BUMPER"</f>
        <v>BRACKET-BUMPER</v>
      </c>
      <c r="C6429">
        <v>6</v>
      </c>
      <c r="D6429">
        <v>272.13599999999997</v>
      </c>
    </row>
    <row r="6430" spans="1:4">
      <c r="A6430" t="str">
        <f>"62221-EG000"</f>
        <v>62221-EG000</v>
      </c>
      <c r="B6430" t="str">
        <f t="shared" ref="B6430:B6435" si="123">"Кронштейн бампер"</f>
        <v>Кронштейн бампер</v>
      </c>
      <c r="C6430">
        <v>4</v>
      </c>
      <c r="D6430">
        <v>535.29599999999994</v>
      </c>
    </row>
    <row r="6431" spans="1:4">
      <c r="A6431" t="str">
        <f>"62221-JN20A"</f>
        <v>62221-JN20A</v>
      </c>
      <c r="B6431" t="str">
        <f t="shared" si="123"/>
        <v>Кронштейн бампер</v>
      </c>
      <c r="C6431">
        <v>3</v>
      </c>
      <c r="D6431">
        <v>465.52799999999996</v>
      </c>
    </row>
    <row r="6432" spans="1:4">
      <c r="A6432" t="str">
        <f>"62221-VD210"</f>
        <v>62221-VD210</v>
      </c>
      <c r="B6432" t="str">
        <f t="shared" si="123"/>
        <v>Кронштейн бампер</v>
      </c>
      <c r="C6432">
        <v>5</v>
      </c>
      <c r="D6432">
        <v>608.32799999999997</v>
      </c>
    </row>
    <row r="6433" spans="1:4">
      <c r="A6433" t="str">
        <f>"62222-1AA2A"</f>
        <v>62222-1AA2A</v>
      </c>
      <c r="B6433" t="str">
        <f t="shared" si="123"/>
        <v>Кронштейн бампер</v>
      </c>
      <c r="C6433">
        <v>0</v>
      </c>
      <c r="D6433">
        <v>291.71999999999997</v>
      </c>
    </row>
    <row r="6434" spans="1:4">
      <c r="A6434" t="str">
        <f>"62222-1BA0A"</f>
        <v>62222-1BA0A</v>
      </c>
      <c r="B6434" t="str">
        <f t="shared" si="123"/>
        <v>Кронштейн бампер</v>
      </c>
      <c r="C6434">
        <v>2</v>
      </c>
      <c r="D6434">
        <v>180.33599999999998</v>
      </c>
    </row>
    <row r="6435" spans="1:4">
      <c r="A6435" t="str">
        <f>"62222-3UB0A"</f>
        <v>62222-3UB0A</v>
      </c>
      <c r="B6435" t="str">
        <f t="shared" si="123"/>
        <v>Кронштейн бампер</v>
      </c>
      <c r="C6435">
        <v>10</v>
      </c>
      <c r="D6435">
        <v>292.536</v>
      </c>
    </row>
    <row r="6436" spans="1:4">
      <c r="A6436" t="str">
        <f>"62222-4M500"</f>
        <v>62222-4M500</v>
      </c>
      <c r="B6436" t="str">
        <f>"BRKT-BPR SIDE,R"</f>
        <v>BRKT-BPR SIDE,R</v>
      </c>
      <c r="C6436">
        <v>9</v>
      </c>
      <c r="D6436">
        <v>326.80799999999994</v>
      </c>
    </row>
    <row r="6437" spans="1:4">
      <c r="A6437" t="str">
        <f>"62222-5X00A"</f>
        <v>62222-5X00A</v>
      </c>
      <c r="B6437" t="str">
        <f>"Кронштейн бампер"</f>
        <v>Кронштейн бампер</v>
      </c>
      <c r="C6437">
        <v>2</v>
      </c>
      <c r="D6437">
        <v>545.904</v>
      </c>
    </row>
    <row r="6438" spans="1:4">
      <c r="A6438" t="str">
        <f>"62222-7S000"</f>
        <v>62222-7S000</v>
      </c>
      <c r="B6438" t="str">
        <f>"Кронштейн бампер"</f>
        <v>Кронштейн бампер</v>
      </c>
      <c r="C6438">
        <v>0</v>
      </c>
      <c r="D6438">
        <v>787.44</v>
      </c>
    </row>
    <row r="6439" spans="1:4">
      <c r="A6439" t="str">
        <f>"62222-AU300"</f>
        <v>62222-AU300</v>
      </c>
      <c r="B6439" t="str">
        <f>"BRACKET-FRONT B"</f>
        <v>BRACKET-FRONT B</v>
      </c>
      <c r="C6439">
        <v>7</v>
      </c>
      <c r="D6439">
        <v>63.24</v>
      </c>
    </row>
    <row r="6440" spans="1:4">
      <c r="A6440" t="str">
        <f>"62222-AX600"</f>
        <v>62222-AX600</v>
      </c>
      <c r="B6440" t="str">
        <f>"BRACKET-FRONT B"</f>
        <v>BRACKET-FRONT B</v>
      </c>
      <c r="C6440">
        <v>6</v>
      </c>
      <c r="D6440">
        <v>51.408000000000001</v>
      </c>
    </row>
    <row r="6441" spans="1:4">
      <c r="A6441" t="str">
        <f>"62222-BC50A"</f>
        <v>62222-BC50A</v>
      </c>
      <c r="B6441" t="str">
        <f>"Кронштейн бампер"</f>
        <v>Кронштейн бампер</v>
      </c>
      <c r="C6441">
        <v>4</v>
      </c>
      <c r="D6441">
        <v>97.919999999999987</v>
      </c>
    </row>
    <row r="6442" spans="1:4">
      <c r="A6442" t="str">
        <f>"62222-BN700"</f>
        <v>62222-BN700</v>
      </c>
      <c r="B6442" t="str">
        <f>"BRACKET-FRONT B"</f>
        <v>BRACKET-FRONT B</v>
      </c>
      <c r="C6442">
        <v>5</v>
      </c>
      <c r="D6442">
        <v>473.28</v>
      </c>
    </row>
    <row r="6443" spans="1:4">
      <c r="A6443" t="str">
        <f>"62222-BR00A"</f>
        <v>62222-BR00A</v>
      </c>
      <c r="B6443" t="str">
        <f t="shared" ref="B6443:B6449" si="124">"Кронштейн бампер"</f>
        <v>Кронштейн бампер</v>
      </c>
      <c r="C6443">
        <v>6</v>
      </c>
      <c r="D6443">
        <v>266.42399999999998</v>
      </c>
    </row>
    <row r="6444" spans="1:4">
      <c r="A6444" t="str">
        <f>"62222-EB31A"</f>
        <v>62222-EB31A</v>
      </c>
      <c r="B6444" t="str">
        <f t="shared" si="124"/>
        <v>Кронштейн бампер</v>
      </c>
      <c r="C6444">
        <v>9</v>
      </c>
      <c r="D6444">
        <v>1637.712</v>
      </c>
    </row>
    <row r="6445" spans="1:4">
      <c r="A6445" t="str">
        <f>"62222-JD000"</f>
        <v>62222-JD000</v>
      </c>
      <c r="B6445" t="str">
        <f t="shared" si="124"/>
        <v>Кронштейн бампер</v>
      </c>
      <c r="C6445">
        <v>26</v>
      </c>
      <c r="D6445">
        <v>307.63200000000001</v>
      </c>
    </row>
    <row r="6446" spans="1:4">
      <c r="A6446" t="str">
        <f>"62222-JG000"</f>
        <v>62222-JG000</v>
      </c>
      <c r="B6446" t="str">
        <f t="shared" si="124"/>
        <v>Кронштейн бампер</v>
      </c>
      <c r="C6446">
        <v>34</v>
      </c>
      <c r="D6446">
        <v>278.25599999999997</v>
      </c>
    </row>
    <row r="6447" spans="1:4">
      <c r="A6447" t="str">
        <f>"62223-1AA2A"</f>
        <v>62223-1AA2A</v>
      </c>
      <c r="B6447" t="str">
        <f t="shared" si="124"/>
        <v>Кронштейн бампер</v>
      </c>
      <c r="C6447">
        <v>0</v>
      </c>
      <c r="D6447">
        <v>283.56</v>
      </c>
    </row>
    <row r="6448" spans="1:4">
      <c r="A6448" t="str">
        <f>"62223-1BA0A"</f>
        <v>62223-1BA0A</v>
      </c>
      <c r="B6448" t="str">
        <f t="shared" si="124"/>
        <v>Кронштейн бампер</v>
      </c>
      <c r="C6448">
        <v>3</v>
      </c>
      <c r="D6448">
        <v>180.33599999999998</v>
      </c>
    </row>
    <row r="6449" spans="1:4">
      <c r="A6449" t="str">
        <f>"62223-3UB0A"</f>
        <v>62223-3UB0A</v>
      </c>
      <c r="B6449" t="str">
        <f t="shared" si="124"/>
        <v>Кронштейн бампер</v>
      </c>
      <c r="C6449">
        <v>8</v>
      </c>
      <c r="D6449">
        <v>292.536</v>
      </c>
    </row>
    <row r="6450" spans="1:4">
      <c r="A6450" t="str">
        <f>"62223-4M500"</f>
        <v>62223-4M500</v>
      </c>
      <c r="B6450" t="str">
        <f>"BRKT-BPR SIDE,L"</f>
        <v>BRKT-BPR SIDE,L</v>
      </c>
      <c r="C6450">
        <v>5</v>
      </c>
      <c r="D6450">
        <v>323.95199999999994</v>
      </c>
    </row>
    <row r="6451" spans="1:4">
      <c r="A6451" t="str">
        <f>"62223-5X00A"</f>
        <v>62223-5X00A</v>
      </c>
      <c r="B6451" t="str">
        <f>"Кронштейн бампер"</f>
        <v>Кронштейн бампер</v>
      </c>
      <c r="C6451">
        <v>2</v>
      </c>
      <c r="D6451">
        <v>545.904</v>
      </c>
    </row>
    <row r="6452" spans="1:4">
      <c r="A6452" t="str">
        <f>"62223-7S000"</f>
        <v>62223-7S000</v>
      </c>
      <c r="B6452" t="str">
        <f>"Кронштейн бампер"</f>
        <v>Кронштейн бампер</v>
      </c>
      <c r="C6452">
        <v>2</v>
      </c>
      <c r="D6452">
        <v>504.69599999999997</v>
      </c>
    </row>
    <row r="6453" spans="1:4">
      <c r="A6453" t="str">
        <f>"62223-AU300"</f>
        <v>62223-AU300</v>
      </c>
      <c r="B6453" t="str">
        <f>"BRACKET-FRONT B"</f>
        <v>BRACKET-FRONT B</v>
      </c>
      <c r="C6453">
        <v>9</v>
      </c>
      <c r="D6453">
        <v>58.751999999999995</v>
      </c>
    </row>
    <row r="6454" spans="1:4">
      <c r="A6454" t="str">
        <f>"62223-BC50A"</f>
        <v>62223-BC50A</v>
      </c>
      <c r="B6454" t="str">
        <f>"Кронштейн бампер"</f>
        <v>Кронштейн бампер</v>
      </c>
      <c r="C6454">
        <v>4</v>
      </c>
      <c r="D6454">
        <v>97.919999999999987</v>
      </c>
    </row>
    <row r="6455" spans="1:4">
      <c r="A6455" t="str">
        <f>"62223-BN700"</f>
        <v>62223-BN700</v>
      </c>
      <c r="B6455" t="str">
        <f>"BRACKET-FRONT B"</f>
        <v>BRACKET-FRONT B</v>
      </c>
      <c r="C6455">
        <v>27</v>
      </c>
      <c r="D6455">
        <v>441.048</v>
      </c>
    </row>
    <row r="6456" spans="1:4">
      <c r="A6456" t="str">
        <f>"62223-BR00A"</f>
        <v>62223-BR00A</v>
      </c>
      <c r="B6456" t="str">
        <f>"Кронштейн бампер"</f>
        <v>Кронштейн бампер</v>
      </c>
      <c r="C6456">
        <v>2</v>
      </c>
      <c r="D6456">
        <v>243.16799999999998</v>
      </c>
    </row>
    <row r="6457" spans="1:4">
      <c r="A6457" t="str">
        <f>"62223-EB31A"</f>
        <v>62223-EB31A</v>
      </c>
      <c r="B6457" t="str">
        <f>"Кронштейн бампер"</f>
        <v>Кронштейн бампер</v>
      </c>
      <c r="C6457">
        <v>16</v>
      </c>
      <c r="D6457">
        <v>1591.6079999999999</v>
      </c>
    </row>
    <row r="6458" spans="1:4">
      <c r="A6458" t="str">
        <f>"62223-JD000"</f>
        <v>62223-JD000</v>
      </c>
      <c r="B6458" t="str">
        <f>"Кронштейн бампер"</f>
        <v>Кронштейн бампер</v>
      </c>
      <c r="C6458">
        <v>14</v>
      </c>
      <c r="D6458">
        <v>293.35199999999998</v>
      </c>
    </row>
    <row r="6459" spans="1:4">
      <c r="A6459" t="str">
        <f>"62224-8H300"</f>
        <v>62224-8H300</v>
      </c>
      <c r="B6459" t="str">
        <f>"BRKT-BPR SIDE,R"</f>
        <v>BRKT-BPR SIDE,R</v>
      </c>
      <c r="C6459">
        <v>12</v>
      </c>
      <c r="D6459">
        <v>246.83999999999997</v>
      </c>
    </row>
    <row r="6460" spans="1:4">
      <c r="A6460" t="str">
        <f>"62224-9U000"</f>
        <v>62224-9U000</v>
      </c>
      <c r="B6460" t="str">
        <f>"Кронштейн бампер"</f>
        <v>Кронштейн бампер</v>
      </c>
      <c r="C6460">
        <v>70</v>
      </c>
      <c r="D6460">
        <v>317.83199999999999</v>
      </c>
    </row>
    <row r="6461" spans="1:4">
      <c r="A6461" t="str">
        <f>"62224-AX000"</f>
        <v>62224-AX000</v>
      </c>
      <c r="B6461" t="str">
        <f>"BRKT-BPR SIDE,R"</f>
        <v>BRKT-BPR SIDE,R</v>
      </c>
      <c r="C6461">
        <v>30</v>
      </c>
      <c r="D6461">
        <v>295.392</v>
      </c>
    </row>
    <row r="6462" spans="1:4">
      <c r="A6462" t="str">
        <f>"62224-CG000"</f>
        <v>62224-CG000</v>
      </c>
      <c r="B6462" t="str">
        <f>"BRACKET-BUMPER"</f>
        <v>BRACKET-BUMPER</v>
      </c>
      <c r="C6462">
        <v>6</v>
      </c>
      <c r="D6462">
        <v>123.21600000000001</v>
      </c>
    </row>
    <row r="6463" spans="1:4">
      <c r="A6463" t="str">
        <f>"62224-EG000"</f>
        <v>62224-EG000</v>
      </c>
      <c r="B6463" t="str">
        <f>"Кронштейн бампер"</f>
        <v>Кронштейн бампер</v>
      </c>
      <c r="C6463">
        <v>6</v>
      </c>
      <c r="D6463">
        <v>253.36799999999997</v>
      </c>
    </row>
    <row r="6464" spans="1:4">
      <c r="A6464" t="str">
        <f>"62224-EM30A"</f>
        <v>62224-EM30A</v>
      </c>
      <c r="B6464" t="str">
        <f>"Кронштейн бампер"</f>
        <v>Кронштейн бампер</v>
      </c>
      <c r="C6464">
        <v>0</v>
      </c>
      <c r="D6464">
        <v>183.6</v>
      </c>
    </row>
    <row r="6465" spans="1:4">
      <c r="A6465" t="str">
        <f>"62224-JG000"</f>
        <v>62224-JG000</v>
      </c>
      <c r="B6465" t="str">
        <f>"Кронштейн бампер"</f>
        <v>Кронштейн бампер</v>
      </c>
      <c r="C6465">
        <v>6</v>
      </c>
      <c r="D6465">
        <v>160.34399999999999</v>
      </c>
    </row>
    <row r="6466" spans="1:4">
      <c r="A6466" t="str">
        <f>"62225-8H300"</f>
        <v>62225-8H300</v>
      </c>
      <c r="B6466" t="str">
        <f>"BRKT-BPR SIDE,L"</f>
        <v>BRKT-BPR SIDE,L</v>
      </c>
      <c r="C6466">
        <v>27</v>
      </c>
      <c r="D6466">
        <v>247.24799999999999</v>
      </c>
    </row>
    <row r="6467" spans="1:4">
      <c r="A6467" t="str">
        <f>"62225-9U000"</f>
        <v>62225-9U000</v>
      </c>
      <c r="B6467" t="str">
        <f>"Кронштейн бампер"</f>
        <v>Кронштейн бампер</v>
      </c>
      <c r="C6467">
        <v>48</v>
      </c>
      <c r="D6467">
        <v>310.89599999999996</v>
      </c>
    </row>
    <row r="6468" spans="1:4">
      <c r="A6468" t="str">
        <f>"62225-CG000"</f>
        <v>62225-CG000</v>
      </c>
      <c r="B6468" t="str">
        <f>"BRACKET-FRONT B"</f>
        <v>BRACKET-FRONT B</v>
      </c>
      <c r="C6468">
        <v>13</v>
      </c>
      <c r="D6468">
        <v>130.56</v>
      </c>
    </row>
    <row r="6469" spans="1:4">
      <c r="A6469" t="str">
        <f>"62225-ED000"</f>
        <v>62225-ED000</v>
      </c>
      <c r="B6469" t="str">
        <f>"Кронштейн бампер"</f>
        <v>Кронштейн бампер</v>
      </c>
      <c r="C6469">
        <v>2</v>
      </c>
      <c r="D6469">
        <v>254.18399999999997</v>
      </c>
    </row>
    <row r="6470" spans="1:4">
      <c r="A6470" t="str">
        <f>"62225-EM30A"</f>
        <v>62225-EM30A</v>
      </c>
      <c r="B6470" t="str">
        <f>"Кронштейн бампер"</f>
        <v>Кронштейн бампер</v>
      </c>
      <c r="C6470">
        <v>0</v>
      </c>
      <c r="D6470">
        <v>202.77599999999998</v>
      </c>
    </row>
    <row r="6471" spans="1:4">
      <c r="A6471" t="str">
        <f>"62225-JG000"</f>
        <v>62225-JG000</v>
      </c>
      <c r="B6471" t="str">
        <f>"Кронштейн бампер"</f>
        <v>Кронштейн бампер</v>
      </c>
      <c r="C6471">
        <v>24</v>
      </c>
      <c r="D6471">
        <v>251.73599999999999</v>
      </c>
    </row>
    <row r="6472" spans="1:4">
      <c r="A6472" t="str">
        <f>"62226-AX000"</f>
        <v>62226-AX000</v>
      </c>
      <c r="B6472" t="str">
        <f>"BRKT-BPR SIDE,R"</f>
        <v>BRKT-BPR SIDE,R</v>
      </c>
      <c r="C6472">
        <v>12</v>
      </c>
      <c r="D6472">
        <v>268.464</v>
      </c>
    </row>
    <row r="6473" spans="1:4">
      <c r="A6473" t="str">
        <f>"62226-AX600"</f>
        <v>62226-AX600</v>
      </c>
      <c r="B6473" t="str">
        <f>"BRACKET-FRONT B"</f>
        <v>BRACKET-FRONT B</v>
      </c>
      <c r="C6473">
        <v>3</v>
      </c>
      <c r="D6473">
        <v>289.68</v>
      </c>
    </row>
    <row r="6474" spans="1:4">
      <c r="A6474" t="str">
        <f>"62227-AX000"</f>
        <v>62227-AX000</v>
      </c>
      <c r="B6474" t="str">
        <f>"BRKT-BPR SIDE,L"</f>
        <v>BRKT-BPR SIDE,L</v>
      </c>
      <c r="C6474">
        <v>3</v>
      </c>
      <c r="D6474">
        <v>261.12</v>
      </c>
    </row>
    <row r="6475" spans="1:4">
      <c r="A6475" t="str">
        <f>"62227-AX600"</f>
        <v>62227-AX600</v>
      </c>
      <c r="B6475" t="str">
        <f>"BRACKET-FRONT B"</f>
        <v>BRACKET-FRONT B</v>
      </c>
      <c r="C6475">
        <v>3</v>
      </c>
      <c r="D6475">
        <v>246.43200000000002</v>
      </c>
    </row>
    <row r="6476" spans="1:4">
      <c r="A6476" t="str">
        <f>"62228-15U00"</f>
        <v>62228-15U00</v>
      </c>
      <c r="B6476" t="str">
        <f>"CLIP"</f>
        <v>CLIP</v>
      </c>
      <c r="C6476">
        <v>4</v>
      </c>
      <c r="D6476">
        <v>34.68</v>
      </c>
    </row>
    <row r="6477" spans="1:4">
      <c r="A6477" t="str">
        <f>"62228-32E00"</f>
        <v>62228-32E00</v>
      </c>
      <c r="B6477" t="str">
        <f>"CLIP-FRONT BUMP"</f>
        <v>CLIP-FRONT BUMP</v>
      </c>
      <c r="C6477">
        <v>6</v>
      </c>
      <c r="D6477">
        <v>30.599999999999998</v>
      </c>
    </row>
    <row r="6478" spans="1:4">
      <c r="A6478" t="str">
        <f>"62228-5Z000"</f>
        <v>62228-5Z000</v>
      </c>
      <c r="B6478" t="str">
        <f>"Пистон крепления бам"</f>
        <v>Пистон крепления бам</v>
      </c>
      <c r="C6478">
        <v>20</v>
      </c>
      <c r="D6478">
        <v>48.143999999999998</v>
      </c>
    </row>
    <row r="6479" spans="1:4">
      <c r="A6479" t="str">
        <f>"62228-61A00"</f>
        <v>62228-61A00</v>
      </c>
      <c r="B6479" t="str">
        <f>"CLIP"</f>
        <v>CLIP</v>
      </c>
      <c r="C6479">
        <v>8</v>
      </c>
      <c r="D6479">
        <v>46.511999999999993</v>
      </c>
    </row>
    <row r="6480" spans="1:4">
      <c r="A6480" t="str">
        <f>"62228-70T00"</f>
        <v>62228-70T00</v>
      </c>
      <c r="B6480" t="str">
        <f>"CLIP"</f>
        <v>CLIP</v>
      </c>
      <c r="C6480">
        <v>16</v>
      </c>
      <c r="D6480">
        <v>31.415999999999997</v>
      </c>
    </row>
    <row r="6481" spans="1:4">
      <c r="A6481" t="str">
        <f>"62228-CA000"</f>
        <v>62228-CA000</v>
      </c>
      <c r="B6481" t="str">
        <f>"CLIP"</f>
        <v>CLIP</v>
      </c>
      <c r="C6481">
        <v>6</v>
      </c>
      <c r="D6481">
        <v>33.455999999999996</v>
      </c>
    </row>
    <row r="6482" spans="1:4">
      <c r="A6482" t="str">
        <f>"62228-CA010"</f>
        <v>62228-CA010</v>
      </c>
      <c r="B6482" t="str">
        <f>"CLIP"</f>
        <v>CLIP</v>
      </c>
      <c r="C6482">
        <v>9</v>
      </c>
      <c r="D6482">
        <v>32.231999999999999</v>
      </c>
    </row>
    <row r="6483" spans="1:4">
      <c r="A6483" t="str">
        <f>"62228-CG000"</f>
        <v>62228-CG000</v>
      </c>
      <c r="B6483" t="str">
        <f>"CLIP"</f>
        <v>CLIP</v>
      </c>
      <c r="C6483">
        <v>45</v>
      </c>
      <c r="D6483">
        <v>28.56</v>
      </c>
    </row>
    <row r="6484" spans="1:4">
      <c r="A6484" t="str">
        <f>"62228-EB000"</f>
        <v>62228-EB000</v>
      </c>
      <c r="B6484" t="str">
        <f>"Пистон крепления бам"</f>
        <v>Пистон крепления бам</v>
      </c>
      <c r="C6484">
        <v>0</v>
      </c>
      <c r="D6484">
        <v>529.99199999999996</v>
      </c>
    </row>
    <row r="6485" spans="1:4">
      <c r="A6485" t="str">
        <f>"62228-EG600"</f>
        <v>62228-EG600</v>
      </c>
      <c r="B6485" t="str">
        <f>"Пистон крепления бам"</f>
        <v>Пистон крепления бам</v>
      </c>
      <c r="C6485">
        <v>12</v>
      </c>
      <c r="D6485">
        <v>33.455999999999996</v>
      </c>
    </row>
    <row r="6486" spans="1:4">
      <c r="A6486" t="str">
        <f>"62230-0W000"</f>
        <v>62230-0W000</v>
      </c>
      <c r="B6486" t="str">
        <f>"SLIDER BUMP,RH"</f>
        <v>SLIDER BUMP,RH</v>
      </c>
      <c r="C6486">
        <v>7</v>
      </c>
      <c r="D6486">
        <v>213.38399999999999</v>
      </c>
    </row>
    <row r="6487" spans="1:4">
      <c r="A6487" t="str">
        <f>"62231-0W000"</f>
        <v>62231-0W000</v>
      </c>
      <c r="B6487" t="str">
        <f>"SLIDER BUMP,LH"</f>
        <v>SLIDER BUMP,LH</v>
      </c>
      <c r="C6487">
        <v>1</v>
      </c>
      <c r="D6487">
        <v>212.97599999999997</v>
      </c>
    </row>
    <row r="6488" spans="1:4">
      <c r="A6488" t="str">
        <f>"62235-0W000"</f>
        <v>62235-0W000</v>
      </c>
      <c r="B6488" t="str">
        <f>"SLIDER BUMPER"</f>
        <v>SLIDER BUMPER</v>
      </c>
      <c r="C6488">
        <v>0</v>
      </c>
      <c r="D6488">
        <v>81.191999999999993</v>
      </c>
    </row>
    <row r="6489" spans="1:4">
      <c r="A6489" t="str">
        <f>"62240-8H700"</f>
        <v>62240-8H700</v>
      </c>
      <c r="B6489" t="str">
        <f>"RETAINER"</f>
        <v>RETAINER</v>
      </c>
      <c r="C6489">
        <v>1</v>
      </c>
      <c r="D6489">
        <v>2466.36</v>
      </c>
    </row>
    <row r="6490" spans="1:4">
      <c r="A6490" t="str">
        <f>"62240-EB300"</f>
        <v>62240-EB300</v>
      </c>
      <c r="B6490" t="str">
        <f>"Кронштейн бампер"</f>
        <v>Кронштейн бампер</v>
      </c>
      <c r="C6490">
        <v>5</v>
      </c>
      <c r="D6490">
        <v>817.22399999999993</v>
      </c>
    </row>
    <row r="6491" spans="1:4">
      <c r="A6491" t="str">
        <f>"62240-EQ000"</f>
        <v>62240-EQ000</v>
      </c>
      <c r="B6491" t="str">
        <f>"RETAINER"</f>
        <v>RETAINER</v>
      </c>
      <c r="C6491">
        <v>5</v>
      </c>
      <c r="D6491">
        <v>2498.5919999999996</v>
      </c>
    </row>
    <row r="6492" spans="1:4">
      <c r="A6492" t="str">
        <f>"62240-JN00A"</f>
        <v>62240-JN00A</v>
      </c>
      <c r="B6492" t="str">
        <f t="shared" ref="B6492:B6497" si="125">"Кронштейн бампер"</f>
        <v>Кронштейн бампер</v>
      </c>
      <c r="C6492">
        <v>4</v>
      </c>
      <c r="D6492">
        <v>366.79200000000003</v>
      </c>
    </row>
    <row r="6493" spans="1:4">
      <c r="A6493" t="str">
        <f>"62241-JN00A"</f>
        <v>62241-JN00A</v>
      </c>
      <c r="B6493" t="str">
        <f t="shared" si="125"/>
        <v>Кронштейн бампер</v>
      </c>
      <c r="C6493">
        <v>19</v>
      </c>
      <c r="D6493">
        <v>363.12</v>
      </c>
    </row>
    <row r="6494" spans="1:4">
      <c r="A6494" t="str">
        <f>"62244-EB300"</f>
        <v>62244-EB300</v>
      </c>
      <c r="B6494" t="str">
        <f t="shared" si="125"/>
        <v>Кронштейн бампер</v>
      </c>
      <c r="C6494">
        <v>1</v>
      </c>
      <c r="D6494">
        <v>806.61599999999987</v>
      </c>
    </row>
    <row r="6495" spans="1:4">
      <c r="A6495" t="str">
        <f>"62244-EM30A"</f>
        <v>62244-EM30A</v>
      </c>
      <c r="B6495" t="str">
        <f t="shared" si="125"/>
        <v>Кронштейн бампер</v>
      </c>
      <c r="C6495">
        <v>19</v>
      </c>
      <c r="D6495">
        <v>287.64</v>
      </c>
    </row>
    <row r="6496" spans="1:4">
      <c r="A6496" t="str">
        <f>"62245-EB300"</f>
        <v>62245-EB300</v>
      </c>
      <c r="B6496" t="str">
        <f t="shared" si="125"/>
        <v>Кронштейн бампер</v>
      </c>
      <c r="C6496">
        <v>0</v>
      </c>
      <c r="D6496">
        <v>849.86400000000003</v>
      </c>
    </row>
    <row r="6497" spans="1:4">
      <c r="A6497" t="str">
        <f>"62245-EM30A"</f>
        <v>62245-EM30A</v>
      </c>
      <c r="B6497" t="str">
        <f t="shared" si="125"/>
        <v>Кронштейн бампер</v>
      </c>
      <c r="C6497">
        <v>10</v>
      </c>
      <c r="D6497">
        <v>303.14400000000001</v>
      </c>
    </row>
    <row r="6498" spans="1:4">
      <c r="A6498" t="str">
        <f>"62254-AU300"</f>
        <v>62254-AU300</v>
      </c>
      <c r="B6498" t="str">
        <f>"GRILLE-INTER CO"</f>
        <v>GRILLE-INTER CO</v>
      </c>
      <c r="C6498">
        <v>15</v>
      </c>
      <c r="D6498">
        <v>3873.5519999999997</v>
      </c>
    </row>
    <row r="6499" spans="1:4">
      <c r="A6499" t="str">
        <f>"62254-AU400"</f>
        <v>62254-AU400</v>
      </c>
      <c r="B6499" t="str">
        <f>"GRILLE-INTER CO"</f>
        <v>GRILLE-INTER CO</v>
      </c>
      <c r="C6499">
        <v>4</v>
      </c>
      <c r="D6499">
        <v>4137.9359999999997</v>
      </c>
    </row>
    <row r="6500" spans="1:4">
      <c r="A6500" t="str">
        <f>"62254-BN700"</f>
        <v>62254-BN700</v>
      </c>
      <c r="B6500" t="str">
        <f>"GRILLE-INTER CO"</f>
        <v>GRILLE-INTER CO</v>
      </c>
      <c r="C6500">
        <v>15</v>
      </c>
      <c r="D6500">
        <v>2280.3119999999999</v>
      </c>
    </row>
    <row r="6501" spans="1:4">
      <c r="A6501" t="str">
        <f>"62254-BN900"</f>
        <v>62254-BN900</v>
      </c>
      <c r="B6501" t="str">
        <f>"GRILLE-INTER CO"</f>
        <v>GRILLE-INTER CO</v>
      </c>
      <c r="C6501">
        <v>20</v>
      </c>
      <c r="D6501">
        <v>2292.1439999999998</v>
      </c>
    </row>
    <row r="6502" spans="1:4">
      <c r="A6502" t="str">
        <f>"62256-1AA1A"</f>
        <v>62256-1AA1A</v>
      </c>
      <c r="B6502" t="str">
        <f>"Облицовка бампера пе"</f>
        <v>Облицовка бампера пе</v>
      </c>
      <c r="C6502">
        <v>1</v>
      </c>
      <c r="D6502">
        <v>2168.9279999999999</v>
      </c>
    </row>
    <row r="6503" spans="1:4">
      <c r="A6503" t="str">
        <f>"62256-1AA9A"</f>
        <v>62256-1AA9A</v>
      </c>
      <c r="B6503" t="str">
        <f>"Облицовка бампера пе"</f>
        <v>Облицовка бампера пе</v>
      </c>
      <c r="C6503">
        <v>2</v>
      </c>
      <c r="D6503">
        <v>2168.9279999999999</v>
      </c>
    </row>
    <row r="6504" spans="1:4">
      <c r="A6504" t="str">
        <f>"62256-1CA0A"</f>
        <v>62256-1CA0A</v>
      </c>
      <c r="B6504" t="str">
        <f>"Облицовка бампера пе"</f>
        <v>Облицовка бампера пе</v>
      </c>
      <c r="C6504">
        <v>5</v>
      </c>
      <c r="D6504">
        <v>1194.2159999999999</v>
      </c>
    </row>
    <row r="6505" spans="1:4">
      <c r="A6505" t="str">
        <f>"62256-1KA0C"</f>
        <v>62256-1KA0C</v>
      </c>
      <c r="B6505" t="str">
        <f>"FINISHER-FRONT"</f>
        <v>FINISHER-FRONT</v>
      </c>
      <c r="C6505">
        <v>0</v>
      </c>
      <c r="D6505">
        <v>1385.9759999999999</v>
      </c>
    </row>
    <row r="6506" spans="1:4">
      <c r="A6506" t="str">
        <f>"62256-2J000"</f>
        <v>62256-2J000</v>
      </c>
      <c r="B6506" t="str">
        <f>"FINISHER-FRONT"</f>
        <v>FINISHER-FRONT</v>
      </c>
      <c r="C6506">
        <v>2</v>
      </c>
      <c r="D6506">
        <v>1286.424</v>
      </c>
    </row>
    <row r="6507" spans="1:4">
      <c r="A6507" t="str">
        <f>"62256-3US0B"</f>
        <v>62256-3US0B</v>
      </c>
      <c r="B6507" t="str">
        <f>"Облицовка бампера пе"</f>
        <v>Облицовка бампера пе</v>
      </c>
      <c r="C6507">
        <v>0</v>
      </c>
      <c r="D6507">
        <v>2028.9839999999999</v>
      </c>
    </row>
    <row r="6508" spans="1:4">
      <c r="A6508" t="str">
        <f>"62256-95F0A"</f>
        <v>62256-95F0A</v>
      </c>
      <c r="B6508" t="str">
        <f>"Облицовка бампера пе"</f>
        <v>Облицовка бампера пе</v>
      </c>
      <c r="C6508">
        <v>2</v>
      </c>
      <c r="D6508">
        <v>1216.2479999999998</v>
      </c>
    </row>
    <row r="6509" spans="1:4">
      <c r="A6509" t="str">
        <f>"62256-9U000"</f>
        <v>62256-9U000</v>
      </c>
      <c r="B6509" t="str">
        <f>"Облицовка бампера пе"</f>
        <v>Облицовка бампера пе</v>
      </c>
      <c r="C6509">
        <v>10</v>
      </c>
      <c r="D6509">
        <v>1142.3999999999999</v>
      </c>
    </row>
    <row r="6510" spans="1:4">
      <c r="A6510" t="str">
        <f>"62256-9U10A"</f>
        <v>62256-9U10A</v>
      </c>
      <c r="B6510" t="str">
        <f>"Облицовка бампера пе"</f>
        <v>Облицовка бампера пе</v>
      </c>
      <c r="C6510">
        <v>0</v>
      </c>
      <c r="D6510">
        <v>669.12</v>
      </c>
    </row>
    <row r="6511" spans="1:4">
      <c r="A6511" t="str">
        <f>"62256-AX600"</f>
        <v>62256-AX600</v>
      </c>
      <c r="B6511" t="str">
        <f>"FINISHER-FRONT"</f>
        <v>FINISHER-FRONT</v>
      </c>
      <c r="C6511">
        <v>4</v>
      </c>
      <c r="D6511">
        <v>288.45599999999996</v>
      </c>
    </row>
    <row r="6512" spans="1:4">
      <c r="A6512" t="str">
        <f>"62256-BC400"</f>
        <v>62256-BC400</v>
      </c>
      <c r="B6512" t="str">
        <f>"Облицовка бампера пе"</f>
        <v>Облицовка бампера пе</v>
      </c>
      <c r="C6512">
        <v>19</v>
      </c>
      <c r="D6512">
        <v>700.94399999999996</v>
      </c>
    </row>
    <row r="6513" spans="1:4">
      <c r="A6513" t="str">
        <f>"62256-BM474"</f>
        <v>62256-BM474</v>
      </c>
      <c r="B6513" t="str">
        <f>"FINISHER-FRONT"</f>
        <v>FINISHER-FRONT</v>
      </c>
      <c r="C6513">
        <v>2</v>
      </c>
      <c r="D6513">
        <v>272.54399999999998</v>
      </c>
    </row>
    <row r="6514" spans="1:4">
      <c r="A6514" t="str">
        <f>"62256-BN900"</f>
        <v>62256-BN900</v>
      </c>
      <c r="B6514" t="str">
        <f>"GRILLE-FRONT BU"</f>
        <v>GRILLE-FRONT BU</v>
      </c>
      <c r="C6514">
        <v>1</v>
      </c>
      <c r="D6514">
        <v>863.73599999999999</v>
      </c>
    </row>
    <row r="6515" spans="1:4">
      <c r="A6515" t="str">
        <f>"62256-BR00A"</f>
        <v>62256-BR00A</v>
      </c>
      <c r="B6515" t="str">
        <f>"Облицовка бампера пе"</f>
        <v>Облицовка бампера пе</v>
      </c>
      <c r="C6515">
        <v>0</v>
      </c>
      <c r="D6515">
        <v>756.024</v>
      </c>
    </row>
    <row r="6516" spans="1:4">
      <c r="A6516" t="str">
        <f>"62256-BR02A"</f>
        <v>62256-BR02A</v>
      </c>
      <c r="B6516" t="str">
        <f>"Облицовка бампер"</f>
        <v>Облицовка бампер</v>
      </c>
      <c r="C6516">
        <v>0</v>
      </c>
      <c r="D6516">
        <v>796.41599999999994</v>
      </c>
    </row>
    <row r="6517" spans="1:4">
      <c r="A6517" t="str">
        <f>"62256-BR03A"</f>
        <v>62256-BR03A</v>
      </c>
      <c r="B6517" t="str">
        <f>"Облицовка бампера пе"</f>
        <v>Облицовка бампера пе</v>
      </c>
      <c r="C6517">
        <v>0</v>
      </c>
      <c r="D6517">
        <v>265.608</v>
      </c>
    </row>
    <row r="6518" spans="1:4">
      <c r="A6518" t="str">
        <f>"62256-CA00A"</f>
        <v>62256-CA00A</v>
      </c>
      <c r="B6518" t="str">
        <f>"Облицовка бампера пе"</f>
        <v>Облицовка бампера пе</v>
      </c>
      <c r="C6518">
        <v>2</v>
      </c>
      <c r="D6518">
        <v>2230.5360000000001</v>
      </c>
    </row>
    <row r="6519" spans="1:4">
      <c r="A6519" t="str">
        <f>"62256-CC00A"</f>
        <v>62256-CC00A</v>
      </c>
      <c r="B6519" t="str">
        <f>"Облицовка бампера пе"</f>
        <v>Облицовка бампера пе</v>
      </c>
      <c r="C6519">
        <v>7</v>
      </c>
      <c r="D6519">
        <v>993.07199999999989</v>
      </c>
    </row>
    <row r="6520" spans="1:4">
      <c r="A6520" t="str">
        <f>"62256-CM80A"</f>
        <v>62256-CM80A</v>
      </c>
      <c r="B6520" t="str">
        <f>"Облицовка бампера пе"</f>
        <v>Облицовка бампера пе</v>
      </c>
      <c r="C6520">
        <v>2</v>
      </c>
      <c r="D6520">
        <v>892.70399999999995</v>
      </c>
    </row>
    <row r="6521" spans="1:4">
      <c r="A6521" t="str">
        <f>"62256-EB300"</f>
        <v>62256-EB300</v>
      </c>
      <c r="B6521" t="str">
        <f>"Облицовка бампер"</f>
        <v>Облицовка бампер</v>
      </c>
      <c r="C6521">
        <v>1</v>
      </c>
      <c r="D6521">
        <v>1330.0800000000002</v>
      </c>
    </row>
    <row r="6522" spans="1:4">
      <c r="A6522" t="str">
        <f>"62256-EG600"</f>
        <v>62256-EG600</v>
      </c>
      <c r="B6522" t="str">
        <f t="shared" ref="B6522:B6527" si="126">"Облицовка бампера пе"</f>
        <v>Облицовка бампера пе</v>
      </c>
      <c r="C6522">
        <v>4</v>
      </c>
      <c r="D6522">
        <v>2839.2719999999999</v>
      </c>
    </row>
    <row r="6523" spans="1:4">
      <c r="A6523" t="str">
        <f>"62256-EJ90C"</f>
        <v>62256-EJ90C</v>
      </c>
      <c r="B6523" t="str">
        <f t="shared" si="126"/>
        <v>Облицовка бампера пе</v>
      </c>
      <c r="C6523">
        <v>0</v>
      </c>
      <c r="D6523">
        <v>1820.088</v>
      </c>
    </row>
    <row r="6524" spans="1:4">
      <c r="A6524" t="str">
        <f>"62256-EM30A"</f>
        <v>62256-EM30A</v>
      </c>
      <c r="B6524" t="str">
        <f t="shared" si="126"/>
        <v>Облицовка бампера пе</v>
      </c>
      <c r="C6524">
        <v>0</v>
      </c>
      <c r="D6524">
        <v>691.15200000000004</v>
      </c>
    </row>
    <row r="6525" spans="1:4">
      <c r="A6525" t="str">
        <f>"62256-EM30B"</f>
        <v>62256-EM30B</v>
      </c>
      <c r="B6525" t="str">
        <f t="shared" si="126"/>
        <v>Облицовка бампера пе</v>
      </c>
      <c r="C6525">
        <v>3</v>
      </c>
      <c r="D6525">
        <v>348.02399999999994</v>
      </c>
    </row>
    <row r="6526" spans="1:4">
      <c r="A6526" t="str">
        <f>"62256-JD01A"</f>
        <v>62256-JD01A</v>
      </c>
      <c r="B6526" t="str">
        <f t="shared" si="126"/>
        <v>Облицовка бампера пе</v>
      </c>
      <c r="C6526">
        <v>8</v>
      </c>
      <c r="D6526">
        <v>1014.288</v>
      </c>
    </row>
    <row r="6527" spans="1:4">
      <c r="A6527" t="str">
        <f>"62256-JD01H"</f>
        <v>62256-JD01H</v>
      </c>
      <c r="B6527" t="str">
        <f t="shared" si="126"/>
        <v>Облицовка бампера пе</v>
      </c>
      <c r="C6527">
        <v>8</v>
      </c>
      <c r="D6527">
        <v>720.12</v>
      </c>
    </row>
    <row r="6528" spans="1:4">
      <c r="A6528" t="str">
        <f>"62256-VD210"</f>
        <v>62256-VD210</v>
      </c>
      <c r="B6528" t="str">
        <f>"FIN-FR FASCIA"</f>
        <v>FIN-FR FASCIA</v>
      </c>
      <c r="C6528">
        <v>12</v>
      </c>
      <c r="D6528">
        <v>1297.848</v>
      </c>
    </row>
    <row r="6529" spans="1:4">
      <c r="A6529" t="str">
        <f>"62257-1AA9A"</f>
        <v>62257-1AA9A</v>
      </c>
      <c r="B6529" t="str">
        <f>"Облицовка бампера пе"</f>
        <v>Облицовка бампера пе</v>
      </c>
      <c r="C6529">
        <v>3</v>
      </c>
      <c r="D6529">
        <v>2256.6479999999997</v>
      </c>
    </row>
    <row r="6530" spans="1:4">
      <c r="A6530" t="str">
        <f>"62257-1CA0A"</f>
        <v>62257-1CA0A</v>
      </c>
      <c r="B6530" t="str">
        <f>"Облицовка бампера пе"</f>
        <v>Облицовка бампера пе</v>
      </c>
      <c r="C6530">
        <v>4</v>
      </c>
      <c r="D6530">
        <v>1283.1599999999999</v>
      </c>
    </row>
    <row r="6531" spans="1:4">
      <c r="A6531" t="str">
        <f>"62257-1KA0C"</f>
        <v>62257-1KA0C</v>
      </c>
      <c r="B6531" t="str">
        <f>"FINISHER-FRONT"</f>
        <v>FINISHER-FRONT</v>
      </c>
      <c r="C6531">
        <v>0</v>
      </c>
      <c r="D6531">
        <v>1386.3839999999998</v>
      </c>
    </row>
    <row r="6532" spans="1:4">
      <c r="A6532" t="str">
        <f>"62257-1ML2A"</f>
        <v>62257-1ML2A</v>
      </c>
      <c r="B6532" t="str">
        <f>"Облицовка бампер"</f>
        <v>Облицовка бампер</v>
      </c>
      <c r="C6532">
        <v>0</v>
      </c>
      <c r="D6532">
        <v>656.06399999999996</v>
      </c>
    </row>
    <row r="6533" spans="1:4">
      <c r="A6533" t="str">
        <f>"62257-2J000"</f>
        <v>62257-2J000</v>
      </c>
      <c r="B6533" t="str">
        <f>"FINISHER-FRONT"</f>
        <v>FINISHER-FRONT</v>
      </c>
      <c r="C6533">
        <v>1</v>
      </c>
      <c r="D6533">
        <v>1195.0319999999999</v>
      </c>
    </row>
    <row r="6534" spans="1:4">
      <c r="A6534" t="str">
        <f>"62257-2W100"</f>
        <v>62257-2W100</v>
      </c>
      <c r="B6534" t="str">
        <f>"FINISHER-FR,LH"</f>
        <v>FINISHER-FR,LH</v>
      </c>
      <c r="C6534">
        <v>1</v>
      </c>
      <c r="D6534">
        <v>1258.2719999999999</v>
      </c>
    </row>
    <row r="6535" spans="1:4">
      <c r="A6535" t="str">
        <f>"62257-3US0B"</f>
        <v>62257-3US0B</v>
      </c>
      <c r="B6535" t="str">
        <f>"Облицовка бампера пе"</f>
        <v>Облицовка бампера пе</v>
      </c>
      <c r="C6535">
        <v>0</v>
      </c>
      <c r="D6535">
        <v>2028.9839999999999</v>
      </c>
    </row>
    <row r="6536" spans="1:4">
      <c r="A6536" t="str">
        <f>"62257-43U00"</f>
        <v>62257-43U00</v>
      </c>
      <c r="B6536" t="str">
        <f>"FINISHER-FR,LH"</f>
        <v>FINISHER-FR,LH</v>
      </c>
      <c r="C6536">
        <v>0</v>
      </c>
      <c r="D6536">
        <v>223.99199999999999</v>
      </c>
    </row>
    <row r="6537" spans="1:4">
      <c r="A6537" t="str">
        <f>"62257-9F500"</f>
        <v>62257-9F500</v>
      </c>
      <c r="B6537" t="str">
        <f>"FINISHER-FRONT"</f>
        <v>FINISHER-FRONT</v>
      </c>
      <c r="C6537">
        <v>3</v>
      </c>
      <c r="D6537">
        <v>189.72</v>
      </c>
    </row>
    <row r="6538" spans="1:4">
      <c r="A6538" t="str">
        <f>"62257-9U000"</f>
        <v>62257-9U000</v>
      </c>
      <c r="B6538" t="str">
        <f>"Облицовка бампера пе"</f>
        <v>Облицовка бампера пе</v>
      </c>
      <c r="C6538">
        <v>13</v>
      </c>
      <c r="D6538">
        <v>1100.7840000000001</v>
      </c>
    </row>
    <row r="6539" spans="1:4">
      <c r="A6539" t="str">
        <f>"62257-9U10A"</f>
        <v>62257-9U10A</v>
      </c>
      <c r="B6539" t="str">
        <f>"Облицовка бампера пе"</f>
        <v>Облицовка бампера пе</v>
      </c>
      <c r="C6539">
        <v>39</v>
      </c>
      <c r="D6539">
        <v>705.84</v>
      </c>
    </row>
    <row r="6540" spans="1:4">
      <c r="A6540" t="str">
        <f>"62257-AX600"</f>
        <v>62257-AX600</v>
      </c>
      <c r="B6540" t="str">
        <f>"FINISHER-FRONT"</f>
        <v>FINISHER-FRONT</v>
      </c>
      <c r="C6540">
        <v>0</v>
      </c>
      <c r="D6540">
        <v>292.536</v>
      </c>
    </row>
    <row r="6541" spans="1:4">
      <c r="A6541" t="str">
        <f>"62257-BC400"</f>
        <v>62257-BC400</v>
      </c>
      <c r="B6541" t="str">
        <f>"Облицовка бампера пе"</f>
        <v>Облицовка бампера пе</v>
      </c>
      <c r="C6541">
        <v>1</v>
      </c>
      <c r="D6541">
        <v>677.68799999999999</v>
      </c>
    </row>
    <row r="6542" spans="1:4">
      <c r="A6542" t="str">
        <f>"62257-BM474"</f>
        <v>62257-BM474</v>
      </c>
      <c r="B6542" t="str">
        <f>"FINISHER-FRONT"</f>
        <v>FINISHER-FRONT</v>
      </c>
      <c r="C6542">
        <v>2</v>
      </c>
      <c r="D6542">
        <v>287.23200000000003</v>
      </c>
    </row>
    <row r="6543" spans="1:4">
      <c r="A6543" t="str">
        <f>"62257-BR00A"</f>
        <v>62257-BR00A</v>
      </c>
      <c r="B6543" t="str">
        <f t="shared" ref="B6543:B6554" si="127">"Облицовка бампера пе"</f>
        <v>Облицовка бампера пе</v>
      </c>
      <c r="C6543">
        <v>0</v>
      </c>
      <c r="D6543">
        <v>791.52</v>
      </c>
    </row>
    <row r="6544" spans="1:4">
      <c r="A6544" t="str">
        <f>"62257-BR02A"</f>
        <v>62257-BR02A</v>
      </c>
      <c r="B6544" t="str">
        <f t="shared" si="127"/>
        <v>Облицовка бампера пе</v>
      </c>
      <c r="C6544">
        <v>2</v>
      </c>
      <c r="D6544">
        <v>793.96799999999996</v>
      </c>
    </row>
    <row r="6545" spans="1:4">
      <c r="A6545" t="str">
        <f>"62257-BR03A"</f>
        <v>62257-BR03A</v>
      </c>
      <c r="B6545" t="str">
        <f t="shared" si="127"/>
        <v>Облицовка бампера пе</v>
      </c>
      <c r="C6545">
        <v>0</v>
      </c>
      <c r="D6545">
        <v>255</v>
      </c>
    </row>
    <row r="6546" spans="1:4">
      <c r="A6546" t="str">
        <f>"62257-CA00A"</f>
        <v>62257-CA00A</v>
      </c>
      <c r="B6546" t="str">
        <f t="shared" si="127"/>
        <v>Облицовка бампера пе</v>
      </c>
      <c r="C6546">
        <v>2</v>
      </c>
      <c r="D6546">
        <v>2245.6319999999996</v>
      </c>
    </row>
    <row r="6547" spans="1:4">
      <c r="A6547" t="str">
        <f>"62257-CC00A"</f>
        <v>62257-CC00A</v>
      </c>
      <c r="B6547" t="str">
        <f t="shared" si="127"/>
        <v>Облицовка бампера пе</v>
      </c>
      <c r="C6547">
        <v>3</v>
      </c>
      <c r="D6547">
        <v>904.12800000000004</v>
      </c>
    </row>
    <row r="6548" spans="1:4">
      <c r="A6548" t="str">
        <f>"62257-CM80A"</f>
        <v>62257-CM80A</v>
      </c>
      <c r="B6548" t="str">
        <f t="shared" si="127"/>
        <v>Облицовка бампера пе</v>
      </c>
      <c r="C6548">
        <v>8</v>
      </c>
      <c r="D6548">
        <v>876.38400000000001</v>
      </c>
    </row>
    <row r="6549" spans="1:4">
      <c r="A6549" t="str">
        <f>"62257-EG600"</f>
        <v>62257-EG600</v>
      </c>
      <c r="B6549" t="str">
        <f t="shared" si="127"/>
        <v>Облицовка бампера пе</v>
      </c>
      <c r="C6549">
        <v>4</v>
      </c>
      <c r="D6549">
        <v>2880.8879999999995</v>
      </c>
    </row>
    <row r="6550" spans="1:4">
      <c r="A6550" t="str">
        <f>"62257-EJ90C"</f>
        <v>62257-EJ90C</v>
      </c>
      <c r="B6550" t="str">
        <f t="shared" si="127"/>
        <v>Облицовка бампера пе</v>
      </c>
      <c r="C6550">
        <v>6</v>
      </c>
      <c r="D6550">
        <v>1685.856</v>
      </c>
    </row>
    <row r="6551" spans="1:4">
      <c r="A6551" t="str">
        <f>"62257-EM30A"</f>
        <v>62257-EM30A</v>
      </c>
      <c r="B6551" t="str">
        <f t="shared" si="127"/>
        <v>Облицовка бампера пе</v>
      </c>
      <c r="C6551">
        <v>0</v>
      </c>
      <c r="D6551">
        <v>763.77599999999995</v>
      </c>
    </row>
    <row r="6552" spans="1:4">
      <c r="A6552" t="str">
        <f>"62257-EM30B"</f>
        <v>62257-EM30B</v>
      </c>
      <c r="B6552" t="str">
        <f t="shared" si="127"/>
        <v>Облицовка бампера пе</v>
      </c>
      <c r="C6552">
        <v>3</v>
      </c>
      <c r="D6552">
        <v>802.12800000000004</v>
      </c>
    </row>
    <row r="6553" spans="1:4">
      <c r="A6553" t="str">
        <f>"62257-JD01A"</f>
        <v>62257-JD01A</v>
      </c>
      <c r="B6553" t="str">
        <f t="shared" si="127"/>
        <v>Облицовка бампера пе</v>
      </c>
      <c r="C6553">
        <v>7</v>
      </c>
      <c r="D6553">
        <v>977.976</v>
      </c>
    </row>
    <row r="6554" spans="1:4">
      <c r="A6554" t="str">
        <f>"62257-JD01H"</f>
        <v>62257-JD01H</v>
      </c>
      <c r="B6554" t="str">
        <f t="shared" si="127"/>
        <v>Облицовка бампера пе</v>
      </c>
      <c r="C6554">
        <v>10</v>
      </c>
      <c r="D6554">
        <v>738.4799999999999</v>
      </c>
    </row>
    <row r="6555" spans="1:4">
      <c r="A6555" t="str">
        <f>"62257-VD210"</f>
        <v>62257-VD210</v>
      </c>
      <c r="B6555" t="str">
        <f>"FINISHER-FR,LH"</f>
        <v>FINISHER-FR,LH</v>
      </c>
      <c r="C6555">
        <v>7</v>
      </c>
      <c r="D6555">
        <v>1183.6079999999999</v>
      </c>
    </row>
    <row r="6556" spans="1:4">
      <c r="A6556" t="str">
        <f>"62261-VC200"</f>
        <v>62261-VC200</v>
      </c>
      <c r="B6556" t="str">
        <f>"STAY-FRONT BMPR"</f>
        <v>STAY-FRONT BMPR</v>
      </c>
      <c r="C6556">
        <v>0</v>
      </c>
      <c r="D6556">
        <v>687.4799999999999</v>
      </c>
    </row>
    <row r="6557" spans="1:4">
      <c r="A6557" t="str">
        <f>"62278-JN20A"</f>
        <v>62278-JN20A</v>
      </c>
      <c r="B6557" t="str">
        <f>"Заглушка бампера"</f>
        <v>Заглушка бампера</v>
      </c>
      <c r="C6557">
        <v>9</v>
      </c>
      <c r="D6557">
        <v>523.87199999999996</v>
      </c>
    </row>
    <row r="6558" spans="1:4">
      <c r="A6558" t="str">
        <f>"62279-JN20A"</f>
        <v>62279-JN20A</v>
      </c>
      <c r="B6558" t="str">
        <f>"Облицовка бампера пе"</f>
        <v>Облицовка бампера пе</v>
      </c>
      <c r="C6558">
        <v>24</v>
      </c>
      <c r="D6558">
        <v>437.37600000000003</v>
      </c>
    </row>
    <row r="6559" spans="1:4">
      <c r="A6559" t="str">
        <f>"62284-81F00"</f>
        <v>62284-81F00</v>
      </c>
      <c r="B6559" t="str">
        <f>"GROM-MACH SCR M"</f>
        <v>GROM-MACH SCR M</v>
      </c>
      <c r="C6559">
        <v>0</v>
      </c>
      <c r="D6559">
        <v>35.087999999999994</v>
      </c>
    </row>
    <row r="6560" spans="1:4">
      <c r="A6560" t="str">
        <f>"62284-CA000"</f>
        <v>62284-CA000</v>
      </c>
      <c r="B6560" t="str">
        <f>"GROMET"</f>
        <v>GROMET</v>
      </c>
      <c r="C6560">
        <v>2</v>
      </c>
      <c r="D6560">
        <v>64.463999999999999</v>
      </c>
    </row>
    <row r="6561" spans="1:4">
      <c r="A6561" t="str">
        <f>"62290-1AA0A"</f>
        <v>62290-1AA0A</v>
      </c>
      <c r="B6561" t="str">
        <f>"Кронштейн переднего "</f>
        <v xml:space="preserve">Кронштейн переднего </v>
      </c>
      <c r="C6561">
        <v>4</v>
      </c>
      <c r="D6561">
        <v>2194.6319999999996</v>
      </c>
    </row>
    <row r="6562" spans="1:4">
      <c r="A6562" t="str">
        <f>"62290-1CA0A"</f>
        <v>62290-1CA0A</v>
      </c>
      <c r="B6562" t="str">
        <f>"Кронштейн переднего "</f>
        <v xml:space="preserve">Кронштейн переднего </v>
      </c>
      <c r="C6562">
        <v>2</v>
      </c>
      <c r="D6562">
        <v>1716.864</v>
      </c>
    </row>
    <row r="6563" spans="1:4">
      <c r="A6563" t="str">
        <f>"62290-1LB0A"</f>
        <v>62290-1LB0A</v>
      </c>
      <c r="B6563" t="str">
        <f>"Кронштейн бампер"</f>
        <v>Кронштейн бампер</v>
      </c>
      <c r="C6563">
        <v>0</v>
      </c>
      <c r="D6563">
        <v>7474.5599999999995</v>
      </c>
    </row>
    <row r="6564" spans="1:4">
      <c r="A6564" t="str">
        <f>"62290-4M530"</f>
        <v>62290-4M530</v>
      </c>
      <c r="B6564" t="str">
        <f>"RETAINER-FRONT"</f>
        <v>RETAINER-FRONT</v>
      </c>
      <c r="C6564">
        <v>1</v>
      </c>
      <c r="D6564">
        <v>4152.6239999999998</v>
      </c>
    </row>
    <row r="6565" spans="1:4">
      <c r="A6565" t="str">
        <f>"62290-7S60A"</f>
        <v>62290-7S60A</v>
      </c>
      <c r="B6565" t="str">
        <f>"Кронштейн бампер"</f>
        <v>Кронштейн бампер</v>
      </c>
      <c r="C6565">
        <v>2</v>
      </c>
      <c r="D6565">
        <v>8952.7439999999988</v>
      </c>
    </row>
    <row r="6566" spans="1:4">
      <c r="A6566" t="str">
        <f>"62290-AU330"</f>
        <v>62290-AU330</v>
      </c>
      <c r="B6566" t="str">
        <f>"RETAINER-FRONT"</f>
        <v>RETAINER-FRONT</v>
      </c>
      <c r="C6566">
        <v>3</v>
      </c>
      <c r="D6566">
        <v>4817.2560000000003</v>
      </c>
    </row>
    <row r="6567" spans="1:4">
      <c r="A6567" t="str">
        <f>"62290-BN730"</f>
        <v>62290-BN730</v>
      </c>
      <c r="B6567" t="str">
        <f>"RETAINER-FRONT"</f>
        <v>RETAINER-FRONT</v>
      </c>
      <c r="C6567">
        <v>1</v>
      </c>
      <c r="D6567">
        <v>3731.9759999999997</v>
      </c>
    </row>
    <row r="6568" spans="1:4">
      <c r="A6568" t="str">
        <f>"62290-EG000"</f>
        <v>62290-EG000</v>
      </c>
      <c r="B6568" t="str">
        <f>"Кронштейн бампер"</f>
        <v>Кронштейн бампер</v>
      </c>
      <c r="C6568">
        <v>2</v>
      </c>
      <c r="D6568">
        <v>2208.5039999999999</v>
      </c>
    </row>
    <row r="6569" spans="1:4">
      <c r="A6569" t="str">
        <f>"62290-JN20A"</f>
        <v>62290-JN20A</v>
      </c>
      <c r="B6569" t="str">
        <f>"Кронштейн бампер"</f>
        <v>Кронштейн бампер</v>
      </c>
      <c r="C6569">
        <v>19</v>
      </c>
      <c r="D6569">
        <v>2579.7840000000001</v>
      </c>
    </row>
    <row r="6570" spans="1:4">
      <c r="A6570" t="str">
        <f>"62292-BV030"</f>
        <v>62292-BV030</v>
      </c>
      <c r="B6570" t="str">
        <f>"RETAINER-FRONT"</f>
        <v>RETAINER-FRONT</v>
      </c>
      <c r="C6570">
        <v>0</v>
      </c>
      <c r="D6570">
        <v>671.56799999999998</v>
      </c>
    </row>
    <row r="6571" spans="1:4">
      <c r="A6571" t="str">
        <f>"62292-VD300"</f>
        <v>62292-VD300</v>
      </c>
      <c r="B6571" t="str">
        <f>"Кронштейн бампер"</f>
        <v>Кронштейн бампер</v>
      </c>
      <c r="C6571">
        <v>2</v>
      </c>
      <c r="D6571">
        <v>2393.328</v>
      </c>
    </row>
    <row r="6572" spans="1:4">
      <c r="A6572" t="str">
        <f>"62293-BV030"</f>
        <v>62293-BV030</v>
      </c>
      <c r="B6572" t="str">
        <f>"RETAINER-FRONT"</f>
        <v>RETAINER-FRONT</v>
      </c>
      <c r="C6572">
        <v>0</v>
      </c>
      <c r="D6572">
        <v>824.976</v>
      </c>
    </row>
    <row r="6573" spans="1:4">
      <c r="A6573" t="str">
        <f>"62294-1LA0A"</f>
        <v>62294-1LA0A</v>
      </c>
      <c r="B6573" t="str">
        <f>"Кронштейн бампер"</f>
        <v>Кронштейн бампер</v>
      </c>
      <c r="C6573">
        <v>3</v>
      </c>
      <c r="D6573">
        <v>1076.712</v>
      </c>
    </row>
    <row r="6574" spans="1:4">
      <c r="A6574" t="str">
        <f>"62297-0W001"</f>
        <v>62297-0W001</v>
      </c>
      <c r="B6574" t="str">
        <f>"BOLT"</f>
        <v>BOLT</v>
      </c>
      <c r="C6574">
        <v>6</v>
      </c>
      <c r="D6574">
        <v>90.167999999999992</v>
      </c>
    </row>
    <row r="6575" spans="1:4">
      <c r="A6575" t="str">
        <f>"62298-1LA0A"</f>
        <v>62298-1LA0A</v>
      </c>
      <c r="B6575" t="str">
        <f>"Кронштейн бампер"</f>
        <v>Кронштейн бампер</v>
      </c>
      <c r="C6575">
        <v>3</v>
      </c>
      <c r="D6575">
        <v>1116.6959999999999</v>
      </c>
    </row>
    <row r="6576" spans="1:4">
      <c r="A6576" t="str">
        <f>"622A0-1KA0A"</f>
        <v>622A0-1KA0A</v>
      </c>
      <c r="B6576" t="str">
        <f>"Заглушка бампера"</f>
        <v>Заглушка бампера</v>
      </c>
      <c r="C6576">
        <v>3</v>
      </c>
      <c r="D6576">
        <v>351.69599999999997</v>
      </c>
    </row>
    <row r="6577" spans="1:4">
      <c r="A6577" t="str">
        <f>"622A0-9F500"</f>
        <v>622A0-9F500</v>
      </c>
      <c r="B6577" t="str">
        <f>"COVER-BUMPER BR"</f>
        <v>COVER-BUMPER BR</v>
      </c>
      <c r="C6577">
        <v>3</v>
      </c>
      <c r="D6577">
        <v>450.02399999999994</v>
      </c>
    </row>
    <row r="6578" spans="1:4">
      <c r="A6578" t="str">
        <f>"622A0-9U040"</f>
        <v>622A0-9U040</v>
      </c>
      <c r="B6578" t="str">
        <f>"Облицовка бампера пе"</f>
        <v>Облицовка бампера пе</v>
      </c>
      <c r="C6578">
        <v>19</v>
      </c>
      <c r="D6578">
        <v>415.75199999999995</v>
      </c>
    </row>
    <row r="6579" spans="1:4">
      <c r="A6579" t="str">
        <f>"622A0-AX640"</f>
        <v>622A0-AX640</v>
      </c>
      <c r="B6579" t="str">
        <f>"COVER-BUMPER BR"</f>
        <v>COVER-BUMPER BR</v>
      </c>
      <c r="C6579">
        <v>6</v>
      </c>
      <c r="D6579">
        <v>420.23999999999995</v>
      </c>
    </row>
    <row r="6580" spans="1:4">
      <c r="A6580" t="str">
        <f>"622A0-BC400"</f>
        <v>622A0-BC400</v>
      </c>
      <c r="B6580" t="str">
        <f>"Заглушка переднего б"</f>
        <v>Заглушка переднего б</v>
      </c>
      <c r="C6580">
        <v>7</v>
      </c>
      <c r="D6580">
        <v>560.18399999999997</v>
      </c>
    </row>
    <row r="6581" spans="1:4">
      <c r="A6581" t="str">
        <f>"622A0-BC41A"</f>
        <v>622A0-BC41A</v>
      </c>
      <c r="B6581" t="str">
        <f>"Заглушка переднего б"</f>
        <v>Заглушка переднего б</v>
      </c>
      <c r="C6581">
        <v>4</v>
      </c>
      <c r="D6581">
        <v>560.18399999999997</v>
      </c>
    </row>
    <row r="6582" spans="1:4">
      <c r="A6582" t="str">
        <f>"622A0-BH00H"</f>
        <v>622A0-BH00H</v>
      </c>
      <c r="B6582" t="str">
        <f>"Облицовка бампер"</f>
        <v>Облицовка бампер</v>
      </c>
      <c r="C6582">
        <v>0</v>
      </c>
      <c r="D6582">
        <v>561.81600000000003</v>
      </c>
    </row>
    <row r="6583" spans="1:4">
      <c r="A6583" t="str">
        <f>"622A0-BM400"</f>
        <v>622A0-BM400</v>
      </c>
      <c r="B6583" t="str">
        <f>"COVER-BUMPER BR"</f>
        <v>COVER-BUMPER BR</v>
      </c>
      <c r="C6583">
        <v>3</v>
      </c>
      <c r="D6583">
        <v>651.57600000000002</v>
      </c>
    </row>
    <row r="6584" spans="1:4">
      <c r="A6584" t="str">
        <f>"622A0-BN700"</f>
        <v>622A0-BN700</v>
      </c>
      <c r="B6584" t="str">
        <f>"COVER-BUMPER BR"</f>
        <v>COVER-BUMPER BR</v>
      </c>
      <c r="C6584">
        <v>56</v>
      </c>
      <c r="D6584">
        <v>481.43999999999994</v>
      </c>
    </row>
    <row r="6585" spans="1:4">
      <c r="A6585" t="str">
        <f>"622A0-BR00H"</f>
        <v>622A0-BR00H</v>
      </c>
      <c r="B6585" t="str">
        <f>"Заглушка бампера"</f>
        <v>Заглушка бампера</v>
      </c>
      <c r="C6585">
        <v>0</v>
      </c>
      <c r="D6585">
        <v>359.03999999999996</v>
      </c>
    </row>
    <row r="6586" spans="1:4">
      <c r="A6586" t="str">
        <f>"622A0-EM30H"</f>
        <v>622A0-EM30H</v>
      </c>
      <c r="B6586" t="str">
        <f>"Заглушка бампера"</f>
        <v>Заглушка бампера</v>
      </c>
      <c r="C6586">
        <v>34</v>
      </c>
      <c r="D6586">
        <v>102.408</v>
      </c>
    </row>
    <row r="6587" spans="1:4">
      <c r="A6587" t="str">
        <f>"622A0-JD01B"</f>
        <v>622A0-JD01B</v>
      </c>
      <c r="B6587" t="str">
        <f>"Облицовка бампера пе"</f>
        <v>Облицовка бампера пе</v>
      </c>
      <c r="C6587">
        <v>6</v>
      </c>
      <c r="D6587">
        <v>332.928</v>
      </c>
    </row>
    <row r="6588" spans="1:4">
      <c r="A6588" t="str">
        <f>"622A0-JG44H"</f>
        <v>622A0-JG44H</v>
      </c>
      <c r="B6588" t="str">
        <f>"Заглушка переднего б"</f>
        <v>Заглушка переднего б</v>
      </c>
      <c r="C6588">
        <v>20</v>
      </c>
      <c r="D6588">
        <v>368.42399999999998</v>
      </c>
    </row>
    <row r="6589" spans="1:4">
      <c r="A6589" t="str">
        <f>"622A1-BN700"</f>
        <v>622A1-BN700</v>
      </c>
      <c r="B6589" t="str">
        <f>"COVER-BUMPER BR"</f>
        <v>COVER-BUMPER BR</v>
      </c>
      <c r="C6589">
        <v>6</v>
      </c>
      <c r="D6589">
        <v>491.23199999999997</v>
      </c>
    </row>
    <row r="6590" spans="1:4">
      <c r="A6590" t="str">
        <f>"622A2-JG00A"</f>
        <v>622A2-JG00A</v>
      </c>
      <c r="B6590" t="str">
        <f>"Держатель облицо"</f>
        <v>Держатель облицо</v>
      </c>
      <c r="C6590">
        <v>13</v>
      </c>
      <c r="D6590">
        <v>26.112000000000002</v>
      </c>
    </row>
    <row r="6591" spans="1:4">
      <c r="A6591" t="str">
        <f>"62300-95F0A"</f>
        <v>62300-95F0A</v>
      </c>
      <c r="B6591" t="str">
        <f>"Решетка радиатор"</f>
        <v>Решетка радиатор</v>
      </c>
      <c r="C6591">
        <v>29</v>
      </c>
      <c r="D6591">
        <v>4045.3199999999997</v>
      </c>
    </row>
    <row r="6592" spans="1:4">
      <c r="A6592" t="str">
        <f>"62310-1AV0A"</f>
        <v>62310-1AV0A</v>
      </c>
      <c r="B6592" t="str">
        <f>"Решетка радиатор"</f>
        <v>Решетка радиатор</v>
      </c>
      <c r="C6592">
        <v>0</v>
      </c>
      <c r="D6592">
        <v>9882.5759999999991</v>
      </c>
    </row>
    <row r="6593" spans="1:4">
      <c r="A6593" t="str">
        <f>"62310-1SW0A"</f>
        <v>62310-1SW0A</v>
      </c>
      <c r="B6593" t="str">
        <f>"GRILLE ASSY-FRO"</f>
        <v>GRILLE ASSY-FRO</v>
      </c>
      <c r="C6593">
        <v>0</v>
      </c>
      <c r="D6593">
        <v>8870.735999999999</v>
      </c>
    </row>
    <row r="6594" spans="1:4">
      <c r="A6594" t="str">
        <f>"62310-3UB0B"</f>
        <v>62310-3UB0B</v>
      </c>
      <c r="B6594" t="str">
        <f>"Решетка радиатор"</f>
        <v>Решетка радиатор</v>
      </c>
      <c r="C6594">
        <v>0</v>
      </c>
      <c r="D6594">
        <v>4824.5999999999995</v>
      </c>
    </row>
    <row r="6595" spans="1:4">
      <c r="A6595" t="str">
        <f>"62310-3Y51A"</f>
        <v>62310-3Y51A</v>
      </c>
      <c r="B6595" t="str">
        <f>"Решетка радиатор"</f>
        <v>Решетка радиатор</v>
      </c>
      <c r="C6595">
        <v>15</v>
      </c>
      <c r="D6595">
        <v>4117.1279999999997</v>
      </c>
    </row>
    <row r="6596" spans="1:4">
      <c r="A6596" t="str">
        <f>"62310-5X10A"</f>
        <v>62310-5X10A</v>
      </c>
      <c r="B6596" t="str">
        <f>"Решетка радиатор"</f>
        <v>Решетка радиатор</v>
      </c>
      <c r="C6596">
        <v>3</v>
      </c>
      <c r="D6596">
        <v>10789.967999999999</v>
      </c>
    </row>
    <row r="6597" spans="1:4">
      <c r="A6597" t="str">
        <f>"62310-5X12A"</f>
        <v>62310-5X12A</v>
      </c>
      <c r="B6597" t="str">
        <f>"GRILLE ASSY-FRO"</f>
        <v>GRILLE ASSY-FRO</v>
      </c>
      <c r="C6597">
        <v>0</v>
      </c>
      <c r="D6597">
        <v>10789.967999999999</v>
      </c>
    </row>
    <row r="6598" spans="1:4">
      <c r="A6598" t="str">
        <f>"62310-5Y80A"</f>
        <v>62310-5Y80A</v>
      </c>
      <c r="B6598" t="str">
        <f>"Решетка радиатор"</f>
        <v>Решетка радиатор</v>
      </c>
      <c r="C6598">
        <v>2</v>
      </c>
      <c r="D6598">
        <v>4985.76</v>
      </c>
    </row>
    <row r="6599" spans="1:4">
      <c r="A6599" t="str">
        <f>"62310-7S600"</f>
        <v>62310-7S600</v>
      </c>
      <c r="B6599" t="str">
        <f>"GRILLE KIT-FR"</f>
        <v>GRILLE KIT-FR</v>
      </c>
      <c r="C6599">
        <v>3</v>
      </c>
      <c r="D6599">
        <v>9000.48</v>
      </c>
    </row>
    <row r="6600" spans="1:4">
      <c r="A6600" t="str">
        <f>"62310-9U000"</f>
        <v>62310-9U000</v>
      </c>
      <c r="B6600" t="str">
        <f>"Решетка радиатор"</f>
        <v>Решетка радиатор</v>
      </c>
      <c r="C6600">
        <v>0</v>
      </c>
      <c r="D6600">
        <v>8007.4079999999994</v>
      </c>
    </row>
    <row r="6601" spans="1:4">
      <c r="A6601" t="str">
        <f>"62310-9W50A"</f>
        <v>62310-9W50A</v>
      </c>
      <c r="B6601" t="str">
        <f>"Решетка радиатор"</f>
        <v>Решетка радиатор</v>
      </c>
      <c r="C6601">
        <v>0</v>
      </c>
      <c r="D6601">
        <v>5985.768</v>
      </c>
    </row>
    <row r="6602" spans="1:4">
      <c r="A6602" t="str">
        <f>"62310-BH00H"</f>
        <v>62310-BH00H</v>
      </c>
      <c r="B6602" t="str">
        <f>"Решетка радиатор"</f>
        <v>Решетка радиатор</v>
      </c>
      <c r="C6602">
        <v>1</v>
      </c>
      <c r="D6602">
        <v>5121.6240000000007</v>
      </c>
    </row>
    <row r="6603" spans="1:4">
      <c r="A6603" t="str">
        <f>"62310-BM425"</f>
        <v>62310-BM425</v>
      </c>
      <c r="B6603" t="str">
        <f>"GRILLE KIT-FRON"</f>
        <v>GRILLE KIT-FRON</v>
      </c>
      <c r="C6603">
        <v>1</v>
      </c>
      <c r="D6603">
        <v>4896</v>
      </c>
    </row>
    <row r="6604" spans="1:4">
      <c r="A6604" t="str">
        <f>"62310-BR00A"</f>
        <v>62310-BR00A</v>
      </c>
      <c r="B6604" t="str">
        <f>"Решетка радиатор"</f>
        <v>Решетка радиатор</v>
      </c>
      <c r="C6604">
        <v>1</v>
      </c>
      <c r="D6604">
        <v>3372.9360000000001</v>
      </c>
    </row>
    <row r="6605" spans="1:4">
      <c r="A6605" t="str">
        <f>"62310-CA00A"</f>
        <v>62310-CA00A</v>
      </c>
      <c r="B6605" t="str">
        <f>"Решетка радиатор"</f>
        <v>Решетка радиатор</v>
      </c>
      <c r="C6605">
        <v>4</v>
      </c>
      <c r="D6605">
        <v>8905.8240000000005</v>
      </c>
    </row>
    <row r="6606" spans="1:4">
      <c r="A6606" t="str">
        <f>"62310-CG000"</f>
        <v>62310-CG000</v>
      </c>
      <c r="B6606" t="str">
        <f>"GRILLE-RADIATOR"</f>
        <v>GRILLE-RADIATOR</v>
      </c>
      <c r="C6606">
        <v>9</v>
      </c>
      <c r="D6606">
        <v>8439.887999999999</v>
      </c>
    </row>
    <row r="6607" spans="1:4">
      <c r="A6607" t="str">
        <f>"62310-CL000"</f>
        <v>62310-CL000</v>
      </c>
      <c r="B6607" t="str">
        <f>"Решетка радиатор"</f>
        <v>Решетка радиатор</v>
      </c>
      <c r="C6607">
        <v>0</v>
      </c>
      <c r="D6607">
        <v>6489.24</v>
      </c>
    </row>
    <row r="6608" spans="1:4">
      <c r="A6608" t="str">
        <f>"62310-CM80A"</f>
        <v>62310-CM80A</v>
      </c>
      <c r="B6608" t="str">
        <f>"Решетка радиатор"</f>
        <v>Решетка радиатор</v>
      </c>
      <c r="C6608">
        <v>10</v>
      </c>
      <c r="D6608">
        <v>9333.4079999999994</v>
      </c>
    </row>
    <row r="6609" spans="1:4">
      <c r="A6609" t="str">
        <f>"62310-EB400"</f>
        <v>62310-EB400</v>
      </c>
      <c r="B6609" t="str">
        <f>"GRILLE KIT-FRON"</f>
        <v>GRILLE KIT-FRON</v>
      </c>
      <c r="C6609">
        <v>2</v>
      </c>
      <c r="D6609">
        <v>9263.232</v>
      </c>
    </row>
    <row r="6610" spans="1:4">
      <c r="A6610" t="str">
        <f>"62310-EC80A"</f>
        <v>62310-EC80A</v>
      </c>
      <c r="B6610" t="str">
        <f>"Решетка радиатор"</f>
        <v>Решетка радиатор</v>
      </c>
      <c r="C6610">
        <v>10</v>
      </c>
      <c r="D6610">
        <v>5058.7919999999995</v>
      </c>
    </row>
    <row r="6611" spans="1:4">
      <c r="A6611" t="str">
        <f>"62310-EH200"</f>
        <v>62310-EH200</v>
      </c>
      <c r="B6611" t="str">
        <f>"Решетка радиатор"</f>
        <v>Решетка радиатор</v>
      </c>
      <c r="C6611">
        <v>2</v>
      </c>
      <c r="D6611">
        <v>7390.92</v>
      </c>
    </row>
    <row r="6612" spans="1:4">
      <c r="A6612" t="str">
        <f>"62310-EJ90C"</f>
        <v>62310-EJ90C</v>
      </c>
      <c r="B6612" t="str">
        <f>"Решетка радиатор"</f>
        <v>Решетка радиатор</v>
      </c>
      <c r="C6612">
        <v>5</v>
      </c>
      <c r="D6612">
        <v>7775.6639999999998</v>
      </c>
    </row>
    <row r="6613" spans="1:4">
      <c r="A6613" t="str">
        <f>"62310-EQ303"</f>
        <v>62310-EQ303</v>
      </c>
      <c r="B6613" t="str">
        <f>"GRILLE-RADIATOR"</f>
        <v>GRILLE-RADIATOR</v>
      </c>
      <c r="C6613">
        <v>5</v>
      </c>
      <c r="D6613">
        <v>5382.7439999999997</v>
      </c>
    </row>
    <row r="6614" spans="1:4">
      <c r="A6614" t="str">
        <f>"62310-EQ310"</f>
        <v>62310-EQ310</v>
      </c>
      <c r="B6614" t="str">
        <f>"GRILLE-RADIATOR"</f>
        <v>GRILLE-RADIATOR</v>
      </c>
      <c r="C6614">
        <v>0</v>
      </c>
      <c r="D6614">
        <v>5394.5759999999991</v>
      </c>
    </row>
    <row r="6615" spans="1:4">
      <c r="A6615" t="str">
        <f>"62310-EQ317"</f>
        <v>62310-EQ317</v>
      </c>
      <c r="B6615" t="str">
        <f>"GRILLE-RADIATOR"</f>
        <v>GRILLE-RADIATOR</v>
      </c>
      <c r="C6615">
        <v>3</v>
      </c>
      <c r="D6615">
        <v>5297.8799999999992</v>
      </c>
    </row>
    <row r="6616" spans="1:4">
      <c r="A6616" t="str">
        <f>"62310-EQ400"</f>
        <v>62310-EQ400</v>
      </c>
      <c r="B6616" t="str">
        <f>"GRILLE-RADIATOR"</f>
        <v>GRILLE-RADIATOR</v>
      </c>
      <c r="C6616">
        <v>16</v>
      </c>
      <c r="D6616">
        <v>4578.576</v>
      </c>
    </row>
    <row r="6617" spans="1:4">
      <c r="A6617" t="str">
        <f>"62310-EY10A"</f>
        <v>62310-EY10A</v>
      </c>
      <c r="B6617" t="str">
        <f t="shared" ref="B6617:B6624" si="128">"Решетка радиатор"</f>
        <v>Решетка радиатор</v>
      </c>
      <c r="C6617">
        <v>1</v>
      </c>
      <c r="D6617">
        <v>6052.2719999999999</v>
      </c>
    </row>
    <row r="6618" spans="1:4">
      <c r="A6618" t="str">
        <f>"62310-JD000"</f>
        <v>62310-JD000</v>
      </c>
      <c r="B6618" t="str">
        <f t="shared" si="128"/>
        <v>Решетка радиатор</v>
      </c>
      <c r="C6618">
        <v>8</v>
      </c>
      <c r="D6618">
        <v>5617.7519999999995</v>
      </c>
    </row>
    <row r="6619" spans="1:4">
      <c r="A6619" t="str">
        <f>"62310-JD00B"</f>
        <v>62310-JD00B</v>
      </c>
      <c r="B6619" t="str">
        <f t="shared" si="128"/>
        <v>Решетка радиатор</v>
      </c>
      <c r="C6619">
        <v>0</v>
      </c>
      <c r="D6619">
        <v>5767.4879999999994</v>
      </c>
    </row>
    <row r="6620" spans="1:4">
      <c r="A6620" t="str">
        <f>"62310-JD00D"</f>
        <v>62310-JD00D</v>
      </c>
      <c r="B6620" t="str">
        <f t="shared" si="128"/>
        <v>Решетка радиатор</v>
      </c>
      <c r="C6620">
        <v>1</v>
      </c>
      <c r="D6620">
        <v>6765.8640000000005</v>
      </c>
    </row>
    <row r="6621" spans="1:4">
      <c r="A6621" t="str">
        <f>"62310-JG50A"</f>
        <v>62310-JG50A</v>
      </c>
      <c r="B6621" t="str">
        <f t="shared" si="128"/>
        <v>Решетка радиатор</v>
      </c>
      <c r="C6621">
        <v>6</v>
      </c>
      <c r="D6621">
        <v>4938.0240000000003</v>
      </c>
    </row>
    <row r="6622" spans="1:4">
      <c r="A6622" t="str">
        <f>"62310-JG60D"</f>
        <v>62310-JG60D</v>
      </c>
      <c r="B6622" t="str">
        <f t="shared" si="128"/>
        <v>Решетка радиатор</v>
      </c>
      <c r="C6622">
        <v>2</v>
      </c>
      <c r="D6622">
        <v>4585.92</v>
      </c>
    </row>
    <row r="6623" spans="1:4">
      <c r="A6623" t="str">
        <f>"62310-JN00A"</f>
        <v>62310-JN00A</v>
      </c>
      <c r="B6623" t="str">
        <f t="shared" si="128"/>
        <v>Решетка радиатор</v>
      </c>
      <c r="C6623">
        <v>13</v>
      </c>
      <c r="D6623">
        <v>7357.8720000000003</v>
      </c>
    </row>
    <row r="6624" spans="1:4">
      <c r="A6624" t="str">
        <f>"62310-JN95C"</f>
        <v>62310-JN95C</v>
      </c>
      <c r="B6624" t="str">
        <f t="shared" si="128"/>
        <v>Решетка радиатор</v>
      </c>
      <c r="C6624">
        <v>0</v>
      </c>
      <c r="D6624">
        <v>8561.0640000000003</v>
      </c>
    </row>
    <row r="6625" spans="1:4">
      <c r="A6625" t="str">
        <f>"62310-VD200"</f>
        <v>62310-VD200</v>
      </c>
      <c r="B6625" t="str">
        <f>"GRILLE-RADIATOR"</f>
        <v>GRILLE-RADIATOR</v>
      </c>
      <c r="C6625">
        <v>4</v>
      </c>
      <c r="D6625">
        <v>6968.6399999999994</v>
      </c>
    </row>
    <row r="6626" spans="1:4">
      <c r="A6626" t="str">
        <f>"62310-ZW90A"</f>
        <v>62310-ZW90A</v>
      </c>
      <c r="B6626" t="str">
        <f>"Решетка радиатор"</f>
        <v>Решетка радиатор</v>
      </c>
      <c r="C6626">
        <v>4</v>
      </c>
      <c r="D6626">
        <v>3049.7999999999997</v>
      </c>
    </row>
    <row r="6627" spans="1:4">
      <c r="A6627" t="str">
        <f>"62318-95F0A"</f>
        <v>62318-95F0A</v>
      </c>
      <c r="B6627" t="str">
        <f>"Пистон решетки радиа"</f>
        <v>Пистон решетки радиа</v>
      </c>
      <c r="C6627">
        <v>66</v>
      </c>
      <c r="D6627">
        <v>90.167999999999992</v>
      </c>
    </row>
    <row r="6628" spans="1:4">
      <c r="A6628" t="str">
        <f>"62320-AU300"</f>
        <v>62320-AU300</v>
      </c>
      <c r="B6628" t="str">
        <f>"GRILLE-RADIATOR"</f>
        <v>GRILLE-RADIATOR</v>
      </c>
      <c r="C6628">
        <v>2</v>
      </c>
      <c r="D6628">
        <v>2894.3519999999999</v>
      </c>
    </row>
    <row r="6629" spans="1:4">
      <c r="A6629" t="str">
        <f>"62320-AX600"</f>
        <v>62320-AX600</v>
      </c>
      <c r="B6629" t="str">
        <f>"GRILLE-RADIATOR"</f>
        <v>GRILLE-RADIATOR</v>
      </c>
      <c r="C6629">
        <v>3</v>
      </c>
      <c r="D6629">
        <v>2874.7679999999996</v>
      </c>
    </row>
    <row r="6630" spans="1:4">
      <c r="A6630" t="str">
        <f>"62320-BC41A"</f>
        <v>62320-BC41A</v>
      </c>
      <c r="B6630" t="str">
        <f>"Решетка радиатор"</f>
        <v>Решетка радиатор</v>
      </c>
      <c r="C6630">
        <v>6</v>
      </c>
      <c r="D6630">
        <v>2798.0639999999999</v>
      </c>
    </row>
    <row r="6631" spans="1:4">
      <c r="A6631" t="str">
        <f>"62320-BG00A"</f>
        <v>62320-BG00A</v>
      </c>
      <c r="B6631" t="str">
        <f>"Решетка радиатор"</f>
        <v>Решетка радиатор</v>
      </c>
      <c r="C6631">
        <v>7</v>
      </c>
      <c r="D6631">
        <v>3171.7919999999999</v>
      </c>
    </row>
    <row r="6632" spans="1:4">
      <c r="A6632" t="str">
        <f>"62320-BN700"</f>
        <v>62320-BN700</v>
      </c>
      <c r="B6632" t="str">
        <f>"GRILLE-RADIATOR"</f>
        <v>GRILLE-RADIATOR</v>
      </c>
      <c r="C6632">
        <v>46</v>
      </c>
      <c r="D6632">
        <v>1588.752</v>
      </c>
    </row>
    <row r="6633" spans="1:4">
      <c r="A6633" t="str">
        <f>"62322-EM30A"</f>
        <v>62322-EM30A</v>
      </c>
      <c r="B6633" t="str">
        <f>"Решетка радиатор"</f>
        <v>Решетка радиатор</v>
      </c>
      <c r="C6633">
        <v>0</v>
      </c>
      <c r="D6633">
        <v>2533.6799999999998</v>
      </c>
    </row>
    <row r="6634" spans="1:4">
      <c r="A6634" t="str">
        <f>"62330-AU300"</f>
        <v>62330-AU300</v>
      </c>
      <c r="B6634" t="str">
        <f>"GRILLE-RADIATOR"</f>
        <v>GRILLE-RADIATOR</v>
      </c>
      <c r="C6634">
        <v>2</v>
      </c>
      <c r="D6634">
        <v>2901.6959999999999</v>
      </c>
    </row>
    <row r="6635" spans="1:4">
      <c r="A6635" t="str">
        <f>"62330-BC41A"</f>
        <v>62330-BC41A</v>
      </c>
      <c r="B6635" t="str">
        <f>"Решетка радиатор"</f>
        <v>Решетка радиатор</v>
      </c>
      <c r="C6635">
        <v>2</v>
      </c>
      <c r="D6635">
        <v>2806.2239999999997</v>
      </c>
    </row>
    <row r="6636" spans="1:4">
      <c r="A6636" t="str">
        <f>"62330-BG00A"</f>
        <v>62330-BG00A</v>
      </c>
      <c r="B6636" t="str">
        <f>"Решетка радиатор"</f>
        <v>Решетка радиатор</v>
      </c>
      <c r="C6636">
        <v>2</v>
      </c>
      <c r="D6636">
        <v>3090.1919999999996</v>
      </c>
    </row>
    <row r="6637" spans="1:4">
      <c r="A6637" t="str">
        <f>"62330-BN700"</f>
        <v>62330-BN700</v>
      </c>
      <c r="B6637" t="str">
        <f>"GRILLE-RADIATOR"</f>
        <v>GRILLE-RADIATOR</v>
      </c>
      <c r="C6637">
        <v>55</v>
      </c>
      <c r="D6637">
        <v>1670.3520000000001</v>
      </c>
    </row>
    <row r="6638" spans="1:4">
      <c r="A6638" t="str">
        <f>"62382-AX600"</f>
        <v>62382-AX600</v>
      </c>
      <c r="B6638" t="str">
        <f>"GRILLE-LOWER,RH"</f>
        <v>GRILLE-LOWER,RH</v>
      </c>
      <c r="C6638">
        <v>6</v>
      </c>
      <c r="D6638">
        <v>204</v>
      </c>
    </row>
    <row r="6639" spans="1:4">
      <c r="A6639" t="str">
        <f>"62382-JD00A"</f>
        <v>62382-JD00A</v>
      </c>
      <c r="B6639" t="str">
        <f>"Молдинг решетки ради"</f>
        <v>Молдинг решетки ради</v>
      </c>
      <c r="C6639">
        <v>1</v>
      </c>
      <c r="D6639">
        <v>1219.1039999999998</v>
      </c>
    </row>
    <row r="6640" spans="1:4">
      <c r="A6640" t="str">
        <f>"62383-AX600"</f>
        <v>62383-AX600</v>
      </c>
      <c r="B6640" t="str">
        <f>"GRILLE-LOWER,LH"</f>
        <v>GRILLE-LOWER,LH</v>
      </c>
      <c r="C6640">
        <v>2</v>
      </c>
      <c r="D6640">
        <v>448.8</v>
      </c>
    </row>
    <row r="6641" spans="1:4">
      <c r="A6641" t="str">
        <f>"62386-BN700"</f>
        <v>62386-BN700</v>
      </c>
      <c r="B6641" t="str">
        <f>"MOULDING-RADIAT"</f>
        <v>MOULDING-RADIAT</v>
      </c>
      <c r="C6641">
        <v>20</v>
      </c>
      <c r="D6641">
        <v>651.98400000000004</v>
      </c>
    </row>
    <row r="6642" spans="1:4">
      <c r="A6642" t="str">
        <f>"62387-BN700"</f>
        <v>62387-BN700</v>
      </c>
      <c r="B6642" t="str">
        <f>"MOULDING-RADIAT"</f>
        <v>MOULDING-RADIAT</v>
      </c>
      <c r="C6642">
        <v>14</v>
      </c>
      <c r="D6642">
        <v>669.12</v>
      </c>
    </row>
    <row r="6643" spans="1:4">
      <c r="A6643" t="str">
        <f>"62410-VB212"</f>
        <v>62410-VB212</v>
      </c>
      <c r="B6643" t="str">
        <f>"FINISHER-HEAD L"</f>
        <v>FINISHER-HEAD L</v>
      </c>
      <c r="C6643">
        <v>0</v>
      </c>
      <c r="D6643">
        <v>1640.568</v>
      </c>
    </row>
    <row r="6644" spans="1:4">
      <c r="A6644" t="str">
        <f>"62411-VB205"</f>
        <v>62411-VB205</v>
      </c>
      <c r="B6644" t="str">
        <f>"FINISHER-LAMP"</f>
        <v>FINISHER-LAMP</v>
      </c>
      <c r="C6644">
        <v>0</v>
      </c>
      <c r="D6644">
        <v>1671.576</v>
      </c>
    </row>
    <row r="6645" spans="1:4">
      <c r="A6645" t="str">
        <f>"62411-VB212"</f>
        <v>62411-VB212</v>
      </c>
      <c r="B6645" t="str">
        <f>"FINISHER-LAMP"</f>
        <v>FINISHER-LAMP</v>
      </c>
      <c r="C6645">
        <v>2</v>
      </c>
      <c r="D6645">
        <v>1676.0640000000001</v>
      </c>
    </row>
    <row r="6646" spans="1:4">
      <c r="A6646" t="str">
        <f>"62500-1AA0A"</f>
        <v>62500-1AA0A</v>
      </c>
      <c r="B6646" t="str">
        <f>"Передняя панель кузо"</f>
        <v>Передняя панель кузо</v>
      </c>
      <c r="C6646">
        <v>0</v>
      </c>
      <c r="D6646">
        <v>10988.663999999999</v>
      </c>
    </row>
    <row r="6647" spans="1:4">
      <c r="A6647" t="str">
        <f>"62500-5Y510"</f>
        <v>62500-5Y510</v>
      </c>
      <c r="B6647" t="str">
        <f>"SUPPORT ASSY-RA"</f>
        <v>SUPPORT ASSY-RA</v>
      </c>
      <c r="C6647">
        <v>1</v>
      </c>
      <c r="D6647">
        <v>8976</v>
      </c>
    </row>
    <row r="6648" spans="1:4">
      <c r="A6648" t="str">
        <f>"62500-7S026"</f>
        <v>62500-7S026</v>
      </c>
      <c r="B6648" t="str">
        <f>"Передняя панель кузо"</f>
        <v>Передняя панель кузо</v>
      </c>
      <c r="C6648">
        <v>2</v>
      </c>
      <c r="D6648">
        <v>20650.919999999998</v>
      </c>
    </row>
    <row r="6649" spans="1:4">
      <c r="A6649" t="str">
        <f>"62500-95F0B"</f>
        <v>62500-95F0B</v>
      </c>
      <c r="B6649" t="str">
        <f>"Передняя панель кузо"</f>
        <v>Передняя панель кузо</v>
      </c>
      <c r="C6649">
        <v>3</v>
      </c>
      <c r="D6649">
        <v>10920.936</v>
      </c>
    </row>
    <row r="6650" spans="1:4">
      <c r="A6650" t="str">
        <f>"62500-9W50B"</f>
        <v>62500-9W50B</v>
      </c>
      <c r="B6650" t="str">
        <f>"Передняя панель кузо"</f>
        <v>Передняя панель кузо</v>
      </c>
      <c r="C6650">
        <v>2</v>
      </c>
      <c r="D6650">
        <v>15568.463999999998</v>
      </c>
    </row>
    <row r="6651" spans="1:4">
      <c r="A6651" t="str">
        <f>"62500-BN730"</f>
        <v>62500-BN730</v>
      </c>
      <c r="B6651" t="str">
        <f>"SUPPORT ASSY-RA"</f>
        <v>SUPPORT ASSY-RA</v>
      </c>
      <c r="C6651">
        <v>3</v>
      </c>
      <c r="D6651">
        <v>15177.191999999999</v>
      </c>
    </row>
    <row r="6652" spans="1:4">
      <c r="A6652" t="str">
        <f>"62500-CC02A"</f>
        <v>62500-CC02A</v>
      </c>
      <c r="B6652" t="str">
        <f t="shared" ref="B6652:B6657" si="129">"Передняя панель кузо"</f>
        <v>Передняя панель кузо</v>
      </c>
      <c r="C6652">
        <v>0</v>
      </c>
      <c r="D6652">
        <v>15709.224</v>
      </c>
    </row>
    <row r="6653" spans="1:4">
      <c r="A6653" t="str">
        <f>"62500-CL70A"</f>
        <v>62500-CL70A</v>
      </c>
      <c r="B6653" t="str">
        <f t="shared" si="129"/>
        <v>Передняя панель кузо</v>
      </c>
      <c r="C6653">
        <v>0</v>
      </c>
      <c r="D6653">
        <v>12704.712</v>
      </c>
    </row>
    <row r="6654" spans="1:4">
      <c r="A6654" t="str">
        <f>"62500-JD20A"</f>
        <v>62500-JD20A</v>
      </c>
      <c r="B6654" t="str">
        <f t="shared" si="129"/>
        <v>Передняя панель кузо</v>
      </c>
      <c r="C6654">
        <v>1</v>
      </c>
      <c r="D6654">
        <v>18453.024000000001</v>
      </c>
    </row>
    <row r="6655" spans="1:4">
      <c r="A6655" t="str">
        <f>"62500-JG00A"</f>
        <v>62500-JG00A</v>
      </c>
      <c r="B6655" t="str">
        <f t="shared" si="129"/>
        <v>Передняя панель кузо</v>
      </c>
      <c r="C6655">
        <v>1</v>
      </c>
      <c r="D6655">
        <v>9707.5439999999999</v>
      </c>
    </row>
    <row r="6656" spans="1:4">
      <c r="A6656" t="str">
        <f>"62500-JG30B"</f>
        <v>62500-JG30B</v>
      </c>
      <c r="B6656" t="str">
        <f t="shared" si="129"/>
        <v>Передняя панель кузо</v>
      </c>
      <c r="C6656">
        <v>1</v>
      </c>
      <c r="D6656">
        <v>15286.536</v>
      </c>
    </row>
    <row r="6657" spans="1:4">
      <c r="A6657" t="str">
        <f>"62500-JN20A"</f>
        <v>62500-JN20A</v>
      </c>
      <c r="B6657" t="str">
        <f t="shared" si="129"/>
        <v>Передняя панель кузо</v>
      </c>
      <c r="C6657">
        <v>3</v>
      </c>
      <c r="D6657">
        <v>9897.6719999999987</v>
      </c>
    </row>
    <row r="6658" spans="1:4">
      <c r="A6658" t="str">
        <f>"62500-VC000"</f>
        <v>62500-VC000</v>
      </c>
      <c r="B6658" t="str">
        <f>"SUPPORT-RADIAT"</f>
        <v>SUPPORT-RADIAT</v>
      </c>
      <c r="C6658">
        <v>1</v>
      </c>
      <c r="D6658">
        <v>12092.712</v>
      </c>
    </row>
    <row r="6659" spans="1:4">
      <c r="A6659" t="str">
        <f>"62501-1BA0B"</f>
        <v>62501-1BA0B</v>
      </c>
      <c r="B6659" t="str">
        <f>"Кронштейн радиат"</f>
        <v>Кронштейн радиат</v>
      </c>
      <c r="C6659">
        <v>2</v>
      </c>
      <c r="D6659">
        <v>11552.111999999999</v>
      </c>
    </row>
    <row r="6660" spans="1:4">
      <c r="A6660" t="str">
        <f>"62501-1CA0B"</f>
        <v>62501-1CA0B</v>
      </c>
      <c r="B6660" t="str">
        <f>"Кронштейн радиат"</f>
        <v>Кронштейн радиат</v>
      </c>
      <c r="C6660">
        <v>3</v>
      </c>
      <c r="D6660">
        <v>9526.7999999999993</v>
      </c>
    </row>
    <row r="6661" spans="1:4">
      <c r="A6661" t="str">
        <f>"62501-95F0B"</f>
        <v>62501-95F0B</v>
      </c>
      <c r="B6661" t="str">
        <f>"Кронштейн радиат"</f>
        <v>Кронштейн радиат</v>
      </c>
      <c r="C6661">
        <v>2</v>
      </c>
      <c r="D6661">
        <v>2612.8319999999999</v>
      </c>
    </row>
    <row r="6662" spans="1:4">
      <c r="A6662" t="str">
        <f>"62501-JK05A"</f>
        <v>62501-JK05A</v>
      </c>
      <c r="B6662" t="str">
        <f>"Кронштейн радиат"</f>
        <v>Кронштейн радиат</v>
      </c>
      <c r="C6662">
        <v>2</v>
      </c>
      <c r="D6662">
        <v>8509.655999999999</v>
      </c>
    </row>
    <row r="6663" spans="1:4">
      <c r="A6663" t="str">
        <f>"62510-4M430"</f>
        <v>62510-4M430</v>
      </c>
      <c r="B6663" t="str">
        <f>"SUPPORT-RADIATO"</f>
        <v>SUPPORT-RADIATO</v>
      </c>
      <c r="C6663">
        <v>1</v>
      </c>
      <c r="D6663">
        <v>4896</v>
      </c>
    </row>
    <row r="6664" spans="1:4">
      <c r="A6664" t="str">
        <f>"62510-5Y510"</f>
        <v>62510-5Y510</v>
      </c>
      <c r="B6664" t="str">
        <f>"BRACE ASSY-R/CO"</f>
        <v>BRACE ASSY-R/CO</v>
      </c>
      <c r="C6664">
        <v>1</v>
      </c>
      <c r="D6664">
        <v>2059.1759999999999</v>
      </c>
    </row>
    <row r="6665" spans="1:4">
      <c r="A6665" t="str">
        <f>"62510-8H300"</f>
        <v>62510-8H300</v>
      </c>
      <c r="B6665" t="str">
        <f>"SUPPORT-RADIATO"</f>
        <v>SUPPORT-RADIATO</v>
      </c>
      <c r="C6665">
        <v>0</v>
      </c>
      <c r="D6665">
        <v>3037.56</v>
      </c>
    </row>
    <row r="6666" spans="1:4">
      <c r="A6666" t="str">
        <f>"62510-9W50A"</f>
        <v>62510-9W50A</v>
      </c>
      <c r="B6666" t="str">
        <f>"Кронштейн радиат"</f>
        <v>Кронштейн радиат</v>
      </c>
      <c r="C6666">
        <v>1</v>
      </c>
      <c r="D6666">
        <v>6174.2640000000001</v>
      </c>
    </row>
    <row r="6667" spans="1:4">
      <c r="A6667" t="str">
        <f>"62510-AV630"</f>
        <v>62510-AV630</v>
      </c>
      <c r="B6667" t="str">
        <f>"SUPPORT-RADIATO"</f>
        <v>SUPPORT-RADIATO</v>
      </c>
      <c r="C6667">
        <v>1</v>
      </c>
      <c r="D6667">
        <v>5359.4879999999994</v>
      </c>
    </row>
    <row r="6668" spans="1:4">
      <c r="A6668" t="str">
        <f>"62511-BC61F"</f>
        <v>62511-BC61F</v>
      </c>
      <c r="B6668" t="str">
        <f>"SUPPORT-RADIATO"</f>
        <v>SUPPORT-RADIATO</v>
      </c>
      <c r="C6668">
        <v>5</v>
      </c>
      <c r="D6668">
        <v>3747.8879999999995</v>
      </c>
    </row>
    <row r="6669" spans="1:4">
      <c r="A6669" t="str">
        <f>"62511-CA000"</f>
        <v>62511-CA000</v>
      </c>
      <c r="B6669" t="str">
        <f>"Верхний кронштейн пе"</f>
        <v>Верхний кронштейн пе</v>
      </c>
      <c r="C6669">
        <v>1</v>
      </c>
      <c r="D6669">
        <v>1057.5359999999998</v>
      </c>
    </row>
    <row r="6670" spans="1:4">
      <c r="A6670" t="str">
        <f>"62511-EL030"</f>
        <v>62511-EL030</v>
      </c>
      <c r="B6670" t="str">
        <f>"Кронштейн радиат"</f>
        <v>Кронштейн радиат</v>
      </c>
      <c r="C6670">
        <v>3</v>
      </c>
      <c r="D6670">
        <v>5070.2160000000003</v>
      </c>
    </row>
    <row r="6671" spans="1:4">
      <c r="A6671" t="str">
        <f>"62511-JG00B"</f>
        <v>62511-JG00B</v>
      </c>
      <c r="B6671" t="str">
        <f>"Кронштейн радиат"</f>
        <v>Кронштейн радиат</v>
      </c>
      <c r="C6671">
        <v>6</v>
      </c>
      <c r="D6671">
        <v>1692.3839999999998</v>
      </c>
    </row>
    <row r="6672" spans="1:4">
      <c r="A6672" t="str">
        <f>"62512-EL030"</f>
        <v>62512-EL030</v>
      </c>
      <c r="B6672" t="str">
        <f>"Кронштейн радиат"</f>
        <v>Кронштейн радиат</v>
      </c>
      <c r="C6672">
        <v>6</v>
      </c>
      <c r="D6672">
        <v>955.12800000000004</v>
      </c>
    </row>
    <row r="6673" spans="1:4">
      <c r="A6673" t="str">
        <f>"62512-JG00A"</f>
        <v>62512-JG00A</v>
      </c>
      <c r="B6673" t="str">
        <f>"Кронштейн радиат"</f>
        <v>Кронштейн радиат</v>
      </c>
      <c r="C6673">
        <v>2</v>
      </c>
      <c r="D6673">
        <v>1146.0719999999999</v>
      </c>
    </row>
    <row r="6674" spans="1:4">
      <c r="A6674" t="str">
        <f>"62512-JN20A"</f>
        <v>62512-JN20A</v>
      </c>
      <c r="B6674" t="str">
        <f>"Кронштейн радиат"</f>
        <v>Кронштейн радиат</v>
      </c>
      <c r="C6674">
        <v>10</v>
      </c>
      <c r="D6674">
        <v>833.13599999999997</v>
      </c>
    </row>
    <row r="6675" spans="1:4">
      <c r="A6675" t="str">
        <f>"62513-EL030"</f>
        <v>62513-EL030</v>
      </c>
      <c r="B6675" t="str">
        <f>"Панель кузова"</f>
        <v>Панель кузова</v>
      </c>
      <c r="C6675">
        <v>5</v>
      </c>
      <c r="D6675">
        <v>972.26400000000001</v>
      </c>
    </row>
    <row r="6676" spans="1:4">
      <c r="A6676" t="str">
        <f>"62513-JG00A"</f>
        <v>62513-JG00A</v>
      </c>
      <c r="B6676" t="str">
        <f>"Кронштейн радиат"</f>
        <v>Кронштейн радиат</v>
      </c>
      <c r="C6676">
        <v>2</v>
      </c>
      <c r="D6676">
        <v>1089.768</v>
      </c>
    </row>
    <row r="6677" spans="1:4">
      <c r="A6677" t="str">
        <f>"62513-JN20A"</f>
        <v>62513-JN20A</v>
      </c>
      <c r="B6677" t="str">
        <f>"Кронштейн радиат"</f>
        <v>Кронштейн радиат</v>
      </c>
      <c r="C6677">
        <v>5</v>
      </c>
      <c r="D6677">
        <v>904.12800000000004</v>
      </c>
    </row>
    <row r="6678" spans="1:4">
      <c r="A6678" t="str">
        <f>"62520-1CA0A"</f>
        <v>62520-1CA0A</v>
      </c>
      <c r="B6678" t="str">
        <f>"Усилитель кузова"</f>
        <v>Усилитель кузова</v>
      </c>
      <c r="C6678">
        <v>1</v>
      </c>
      <c r="D6678">
        <v>1463.088</v>
      </c>
    </row>
    <row r="6679" spans="1:4">
      <c r="A6679" t="str">
        <f>"62520-5Y500"</f>
        <v>62520-5Y500</v>
      </c>
      <c r="B6679" t="str">
        <f>"SUPPOPT-RADIATO"</f>
        <v>SUPPOPT-RADIATO</v>
      </c>
      <c r="C6679">
        <v>3</v>
      </c>
      <c r="D6679">
        <v>703.39199999999994</v>
      </c>
    </row>
    <row r="6680" spans="1:4">
      <c r="A6680" t="str">
        <f>"62520-8H300"</f>
        <v>62520-8H300</v>
      </c>
      <c r="B6680" t="str">
        <f>"SUPPORT-RADIATO"</f>
        <v>SUPPORT-RADIATO</v>
      </c>
      <c r="C6680">
        <v>3</v>
      </c>
      <c r="D6680">
        <v>1171.7760000000001</v>
      </c>
    </row>
    <row r="6681" spans="1:4">
      <c r="A6681" t="str">
        <f>"62520-9Y000"</f>
        <v>62520-9Y000</v>
      </c>
      <c r="B6681" t="str">
        <f>"Кронштейн радиат"</f>
        <v>Кронштейн радиат</v>
      </c>
      <c r="C6681">
        <v>2</v>
      </c>
      <c r="D6681">
        <v>3602.64</v>
      </c>
    </row>
    <row r="6682" spans="1:4">
      <c r="A6682" t="str">
        <f>"62520-BN830"</f>
        <v>62520-BN830</v>
      </c>
      <c r="B6682" t="str">
        <f>"SUPPORT-RADIATO"</f>
        <v>SUPPORT-RADIATO</v>
      </c>
      <c r="C6682">
        <v>2</v>
      </c>
      <c r="D6682">
        <v>2012.2560000000001</v>
      </c>
    </row>
    <row r="6683" spans="1:4">
      <c r="A6683" t="str">
        <f>"62520-CA00A"</f>
        <v>62520-CA00A</v>
      </c>
      <c r="B6683" t="str">
        <f>"Кронштейн радиат"</f>
        <v>Кронштейн радиат</v>
      </c>
      <c r="C6683">
        <v>2</v>
      </c>
      <c r="D6683">
        <v>2280.7199999999998</v>
      </c>
    </row>
    <row r="6684" spans="1:4">
      <c r="A6684" t="str">
        <f>"62520-EG00A"</f>
        <v>62520-EG00A</v>
      </c>
      <c r="B6684" t="str">
        <f>"Кронштейн радиат"</f>
        <v>Кронштейн радиат</v>
      </c>
      <c r="C6684">
        <v>2</v>
      </c>
      <c r="D6684">
        <v>10116.767999999998</v>
      </c>
    </row>
    <row r="6685" spans="1:4">
      <c r="A6685" t="str">
        <f>"62520-JG00A"</f>
        <v>62520-JG00A</v>
      </c>
      <c r="B6685" t="str">
        <f>"Кронштейн радиат"</f>
        <v>Кронштейн радиат</v>
      </c>
      <c r="C6685">
        <v>2</v>
      </c>
      <c r="D6685">
        <v>1652.8079999999998</v>
      </c>
    </row>
    <row r="6686" spans="1:4">
      <c r="A6686" t="str">
        <f>"62520-JK600"</f>
        <v>62520-JK600</v>
      </c>
      <c r="B6686" t="str">
        <f>"КРОНШТЕЙН РАДИАТ"</f>
        <v>КРОНШТЕЙН РАДИАТ</v>
      </c>
      <c r="C6686">
        <v>0</v>
      </c>
      <c r="D6686">
        <v>1155.048</v>
      </c>
    </row>
    <row r="6687" spans="1:4">
      <c r="A6687" t="str">
        <f>"62521-8H300"</f>
        <v>62521-8H300</v>
      </c>
      <c r="B6687" t="str">
        <f>"SUPPORT-RADIATO"</f>
        <v>SUPPORT-RADIATO</v>
      </c>
      <c r="C6687">
        <v>0</v>
      </c>
      <c r="D6687">
        <v>1208.904</v>
      </c>
    </row>
    <row r="6688" spans="1:4">
      <c r="A6688" t="str">
        <f>"62521-9Y000"</f>
        <v>62521-9Y000</v>
      </c>
      <c r="B6688" t="str">
        <f>"Кронштейн радиат"</f>
        <v>Кронштейн радиат</v>
      </c>
      <c r="C6688">
        <v>7</v>
      </c>
      <c r="D6688">
        <v>2559.384</v>
      </c>
    </row>
    <row r="6689" spans="1:4">
      <c r="A6689" t="str">
        <f>"62521-AX630"</f>
        <v>62521-AX630</v>
      </c>
      <c r="B6689" t="str">
        <f>"SUPPORT-RADIATO"</f>
        <v>SUPPORT-RADIATO</v>
      </c>
      <c r="C6689">
        <v>2</v>
      </c>
      <c r="D6689">
        <v>1772.3520000000001</v>
      </c>
    </row>
    <row r="6690" spans="1:4">
      <c r="A6690" t="str">
        <f>"62521-BN830"</f>
        <v>62521-BN830</v>
      </c>
      <c r="B6690" t="str">
        <f>"SUPPORT-RADIATO"</f>
        <v>SUPPORT-RADIATO</v>
      </c>
      <c r="C6690">
        <v>3</v>
      </c>
      <c r="D6690">
        <v>2221.9679999999998</v>
      </c>
    </row>
    <row r="6691" spans="1:4">
      <c r="A6691" t="str">
        <f>"62521-CA00A"</f>
        <v>62521-CA00A</v>
      </c>
      <c r="B6691" t="str">
        <f>"Кронштейн радиат"</f>
        <v>Кронштейн радиат</v>
      </c>
      <c r="C6691">
        <v>3</v>
      </c>
      <c r="D6691">
        <v>2321.52</v>
      </c>
    </row>
    <row r="6692" spans="1:4">
      <c r="A6692" t="str">
        <f>"62521-EH200"</f>
        <v>62521-EH200</v>
      </c>
      <c r="B6692" t="str">
        <f>"Кронштейн радиат"</f>
        <v>Кронштейн радиат</v>
      </c>
      <c r="C6692">
        <v>1</v>
      </c>
      <c r="D6692">
        <v>1298.2560000000001</v>
      </c>
    </row>
    <row r="6693" spans="1:4">
      <c r="A6693" t="str">
        <f>"62521-JG00A"</f>
        <v>62521-JG00A</v>
      </c>
      <c r="B6693" t="str">
        <f>"Кронштейн радиат"</f>
        <v>Кронштейн радиат</v>
      </c>
      <c r="C6693">
        <v>8</v>
      </c>
      <c r="D6693">
        <v>1817.2319999999997</v>
      </c>
    </row>
    <row r="6694" spans="1:4">
      <c r="A6694" t="str">
        <f>"62521-JK600"</f>
        <v>62521-JK600</v>
      </c>
      <c r="B6694" t="str">
        <f>"SUPPORT ASSY-RA"</f>
        <v>SUPPORT ASSY-RA</v>
      </c>
      <c r="C6694">
        <v>0</v>
      </c>
      <c r="D6694">
        <v>1194.624</v>
      </c>
    </row>
    <row r="6695" spans="1:4">
      <c r="A6695" t="str">
        <f>"62522-95F0B"</f>
        <v>62522-95F0B</v>
      </c>
      <c r="B6695" t="str">
        <f>"Кронштейн радиат"</f>
        <v>Кронштейн радиат</v>
      </c>
      <c r="C6695">
        <v>1</v>
      </c>
      <c r="D6695">
        <v>1069.7760000000001</v>
      </c>
    </row>
    <row r="6696" spans="1:4">
      <c r="A6696" t="str">
        <f>"62522-95F0D"</f>
        <v>62522-95F0D</v>
      </c>
      <c r="B6696" t="str">
        <f>"Стойка замка кап"</f>
        <v>Стойка замка кап</v>
      </c>
      <c r="C6696">
        <v>3</v>
      </c>
      <c r="D6696">
        <v>596.904</v>
      </c>
    </row>
    <row r="6697" spans="1:4">
      <c r="A6697" t="str">
        <f>"62522-AV630"</f>
        <v>62522-AV630</v>
      </c>
      <c r="B6697" t="str">
        <f>"SUPPORT-RADIATO"</f>
        <v>SUPPORT-RADIATO</v>
      </c>
      <c r="C6697">
        <v>3</v>
      </c>
      <c r="D6697">
        <v>2118.7439999999997</v>
      </c>
    </row>
    <row r="6698" spans="1:4">
      <c r="A6698" t="str">
        <f>"62522-AX630"</f>
        <v>62522-AX630</v>
      </c>
      <c r="B6698" t="str">
        <f>"SUPPORT-RADIATO"</f>
        <v>SUPPORT-RADIATO</v>
      </c>
      <c r="C6698">
        <v>1</v>
      </c>
      <c r="D6698">
        <v>1463.4959999999999</v>
      </c>
    </row>
    <row r="6699" spans="1:4">
      <c r="A6699" t="str">
        <f>"62523-95F0B"</f>
        <v>62523-95F0B</v>
      </c>
      <c r="B6699" t="str">
        <f>"Кронштейн радиат"</f>
        <v>Кронштейн радиат</v>
      </c>
      <c r="C6699">
        <v>4</v>
      </c>
      <c r="D6699">
        <v>1079.568</v>
      </c>
    </row>
    <row r="6700" spans="1:4">
      <c r="A6700" t="str">
        <f>"62523-AV630"</f>
        <v>62523-AV630</v>
      </c>
      <c r="B6700" t="str">
        <f>"SUPPORT-RADIATO"</f>
        <v>SUPPORT-RADIATO</v>
      </c>
      <c r="C6700">
        <v>2</v>
      </c>
      <c r="D6700">
        <v>2373.7439999999997</v>
      </c>
    </row>
    <row r="6701" spans="1:4">
      <c r="A6701" t="str">
        <f>"62523-AX630"</f>
        <v>62523-AX630</v>
      </c>
      <c r="B6701" t="str">
        <f>"SUPPORT-RADIATO"</f>
        <v>SUPPORT-RADIATO</v>
      </c>
      <c r="C6701">
        <v>1</v>
      </c>
      <c r="D6701">
        <v>1266.8399999999999</v>
      </c>
    </row>
    <row r="6702" spans="1:4">
      <c r="A6702" t="str">
        <f>"62525-8H300"</f>
        <v>62525-8H300</v>
      </c>
      <c r="B6702" t="str">
        <f>"REINFORCE"</f>
        <v>REINFORCE</v>
      </c>
      <c r="C6702">
        <v>5</v>
      </c>
      <c r="D6702">
        <v>369.64800000000002</v>
      </c>
    </row>
    <row r="6703" spans="1:4">
      <c r="A6703" t="str">
        <f>"62530-9U200"</f>
        <v>62530-9U200</v>
      </c>
      <c r="B6703" t="str">
        <f>"Кронштейн радиат"</f>
        <v>Кронштейн радиат</v>
      </c>
      <c r="C6703">
        <v>0</v>
      </c>
      <c r="D6703">
        <v>8381.5439999999999</v>
      </c>
    </row>
    <row r="6704" spans="1:4">
      <c r="A6704" t="str">
        <f>"62530-AX820"</f>
        <v>62530-AX820</v>
      </c>
      <c r="B6704" t="str">
        <f>"SUPPORT-RADIATO"</f>
        <v>SUPPORT-RADIATO</v>
      </c>
      <c r="C6704">
        <v>5</v>
      </c>
      <c r="D6704">
        <v>5685.0720000000001</v>
      </c>
    </row>
    <row r="6705" spans="1:4">
      <c r="A6705" t="str">
        <f>"62530-EL030"</f>
        <v>62530-EL030</v>
      </c>
      <c r="B6705" t="str">
        <f>"Кронштейн радиат"</f>
        <v>Кронштейн радиат</v>
      </c>
      <c r="C6705">
        <v>2</v>
      </c>
      <c r="D6705">
        <v>4568.3760000000002</v>
      </c>
    </row>
    <row r="6706" spans="1:4">
      <c r="A6706" t="str">
        <f>"62530-JG30A"</f>
        <v>62530-JG30A</v>
      </c>
      <c r="B6706" t="str">
        <f>"Кронштейн радиат"</f>
        <v>Кронштейн радиат</v>
      </c>
      <c r="C6706">
        <v>4</v>
      </c>
      <c r="D6706">
        <v>4960.0559999999996</v>
      </c>
    </row>
    <row r="6707" spans="1:4">
      <c r="A6707" t="str">
        <f>"62530-JM00A"</f>
        <v>62530-JM00A</v>
      </c>
      <c r="B6707" t="str">
        <f>"Кронштейн радиат"</f>
        <v>Кронштейн радиат</v>
      </c>
      <c r="C6707">
        <v>0</v>
      </c>
      <c r="D6707">
        <v>5100.8159999999998</v>
      </c>
    </row>
    <row r="6708" spans="1:4">
      <c r="A6708" t="str">
        <f>"62550-0M030"</f>
        <v>62550-0M030</v>
      </c>
      <c r="B6708" t="str">
        <f>"STAY-HOOD LOCK"</f>
        <v>STAY-HOOD LOCK</v>
      </c>
      <c r="C6708">
        <v>2</v>
      </c>
      <c r="D6708">
        <v>819.67199999999991</v>
      </c>
    </row>
    <row r="6709" spans="1:4">
      <c r="A6709" t="str">
        <f>"62550-1CA0A"</f>
        <v>62550-1CA0A</v>
      </c>
      <c r="B6709" t="str">
        <f>"Стойка замка кап"</f>
        <v>Стойка замка кап</v>
      </c>
      <c r="C6709">
        <v>2</v>
      </c>
      <c r="D6709">
        <v>2031.84</v>
      </c>
    </row>
    <row r="6710" spans="1:4">
      <c r="A6710" t="str">
        <f>"62550-8H300"</f>
        <v>62550-8H300</v>
      </c>
      <c r="B6710" t="str">
        <f>"STAY-HOOD LOCK"</f>
        <v>STAY-HOOD LOCK</v>
      </c>
      <c r="C6710">
        <v>3</v>
      </c>
      <c r="D6710">
        <v>824.16</v>
      </c>
    </row>
    <row r="6711" spans="1:4">
      <c r="A6711" t="str">
        <f>"62550-BN730"</f>
        <v>62550-BN730</v>
      </c>
      <c r="B6711" t="str">
        <f>"STAY-HOOD LOCK"</f>
        <v>STAY-HOOD LOCK</v>
      </c>
      <c r="C6711">
        <v>3</v>
      </c>
      <c r="D6711">
        <v>2090.1839999999997</v>
      </c>
    </row>
    <row r="6712" spans="1:4">
      <c r="A6712" t="str">
        <f>"62550-JG00B"</f>
        <v>62550-JG00B</v>
      </c>
      <c r="B6712" t="str">
        <f>"Стойка замка кап"</f>
        <v>Стойка замка кап</v>
      </c>
      <c r="C6712">
        <v>1</v>
      </c>
      <c r="D6712">
        <v>1042.0319999999999</v>
      </c>
    </row>
    <row r="6713" spans="1:4">
      <c r="A6713" t="str">
        <f>"62552-AX630"</f>
        <v>62552-AX630</v>
      </c>
      <c r="B6713" t="str">
        <f>"STAY-RADIATOR C"</f>
        <v>STAY-RADIATOR C</v>
      </c>
      <c r="C6713">
        <v>10</v>
      </c>
      <c r="D6713">
        <v>465.93599999999992</v>
      </c>
    </row>
    <row r="6714" spans="1:4">
      <c r="A6714" t="str">
        <f>"62552-JD00A"</f>
        <v>62552-JD00A</v>
      </c>
      <c r="B6714" t="str">
        <f>"Стойка замка кап"</f>
        <v>Стойка замка кап</v>
      </c>
      <c r="C6714">
        <v>0</v>
      </c>
      <c r="D6714">
        <v>1047.7439999999999</v>
      </c>
    </row>
    <row r="6715" spans="1:4">
      <c r="A6715" t="str">
        <f>"62560-JK00A"</f>
        <v>62560-JK00A</v>
      </c>
      <c r="B6715" t="str">
        <f t="shared" ref="B6715:B6720" si="130">"Кронштейн фары"</f>
        <v>Кронштейн фары</v>
      </c>
      <c r="C6715">
        <v>3</v>
      </c>
      <c r="D6715">
        <v>577.72799999999995</v>
      </c>
    </row>
    <row r="6716" spans="1:4">
      <c r="A6716" t="str">
        <f>"62561-JK00A"</f>
        <v>62561-JK00A</v>
      </c>
      <c r="B6716" t="str">
        <f t="shared" si="130"/>
        <v>Кронштейн фары</v>
      </c>
      <c r="C6716">
        <v>4</v>
      </c>
      <c r="D6716">
        <v>568.34399999999994</v>
      </c>
    </row>
    <row r="6717" spans="1:4">
      <c r="A6717" t="str">
        <f>"62564-1BA0A"</f>
        <v>62564-1BA0A</v>
      </c>
      <c r="B6717" t="str">
        <f t="shared" si="130"/>
        <v>Кронштейн фары</v>
      </c>
      <c r="C6717">
        <v>8</v>
      </c>
      <c r="D6717">
        <v>2243.1839999999997</v>
      </c>
    </row>
    <row r="6718" spans="1:4">
      <c r="A6718" t="str">
        <f>"62564-1CA0A"</f>
        <v>62564-1CA0A</v>
      </c>
      <c r="B6718" t="str">
        <f t="shared" si="130"/>
        <v>Кронштейн фары</v>
      </c>
      <c r="C6718">
        <v>0</v>
      </c>
      <c r="D6718">
        <v>743.78399999999999</v>
      </c>
    </row>
    <row r="6719" spans="1:4">
      <c r="A6719" t="str">
        <f>"62565-1BA0A"</f>
        <v>62565-1BA0A</v>
      </c>
      <c r="B6719" t="str">
        <f t="shared" si="130"/>
        <v>Кронштейн фары</v>
      </c>
      <c r="C6719">
        <v>7</v>
      </c>
      <c r="D6719">
        <v>2267.6639999999998</v>
      </c>
    </row>
    <row r="6720" spans="1:4">
      <c r="A6720" t="str">
        <f>"62565-1CA0A"</f>
        <v>62565-1CA0A</v>
      </c>
      <c r="B6720" t="str">
        <f t="shared" si="130"/>
        <v>Кронштейн фары</v>
      </c>
      <c r="C6720">
        <v>2</v>
      </c>
      <c r="D6720">
        <v>746.23199999999997</v>
      </c>
    </row>
    <row r="6721" spans="1:4">
      <c r="A6721" t="str">
        <f>"62580-1AA0A"</f>
        <v>62580-1AA0A</v>
      </c>
      <c r="B6721" t="str">
        <f>"Облицовка радиат"</f>
        <v>Облицовка радиат</v>
      </c>
      <c r="C6721">
        <v>1</v>
      </c>
      <c r="D6721">
        <v>2110.9920000000002</v>
      </c>
    </row>
    <row r="6722" spans="1:4">
      <c r="A6722" t="str">
        <f>"62580-7S600"</f>
        <v>62580-7S600</v>
      </c>
      <c r="B6722" t="str">
        <f>"Кожух передней панел"</f>
        <v>Кожух передней панел</v>
      </c>
      <c r="C6722">
        <v>2</v>
      </c>
      <c r="D6722">
        <v>465.93599999999992</v>
      </c>
    </row>
    <row r="6723" spans="1:4">
      <c r="A6723" t="str">
        <f>"625C0-JK00A"</f>
        <v>625C0-JK00A</v>
      </c>
      <c r="B6723" t="str">
        <f>"Кожух радиатора плас"</f>
        <v>Кожух радиатора плас</v>
      </c>
      <c r="C6723">
        <v>9</v>
      </c>
      <c r="D6723">
        <v>2019.6</v>
      </c>
    </row>
    <row r="6724" spans="1:4">
      <c r="A6724" t="str">
        <f>"625E5-1CA0A"</f>
        <v>625E5-1CA0A</v>
      </c>
      <c r="B6724" t="str">
        <f>"Кронштейн капота"</f>
        <v>Кронштейн капота</v>
      </c>
      <c r="C6724">
        <v>1</v>
      </c>
      <c r="D6724">
        <v>650.35199999999998</v>
      </c>
    </row>
    <row r="6725" spans="1:4">
      <c r="A6725" t="str">
        <f>"625E8-JN20A"</f>
        <v>625E8-JN20A</v>
      </c>
      <c r="B6725" t="str">
        <f>"Крышка воздухово"</f>
        <v>Крышка воздухово</v>
      </c>
      <c r="C6725">
        <v>8</v>
      </c>
      <c r="D6725">
        <v>1222.7760000000001</v>
      </c>
    </row>
    <row r="6726" spans="1:4">
      <c r="A6726" t="str">
        <f>"62651-95F0B"</f>
        <v>62651-95F0B</v>
      </c>
      <c r="B6726" t="str">
        <f>"Бампер передний"</f>
        <v>Бампер передний</v>
      </c>
      <c r="C6726">
        <v>5</v>
      </c>
      <c r="D6726">
        <v>5655.6959999999999</v>
      </c>
    </row>
    <row r="6727" spans="1:4">
      <c r="A6727" t="str">
        <f>"62653-CC20A"</f>
        <v>62653-CC20A</v>
      </c>
      <c r="B6727" t="str">
        <f>"Облицовка бампера пе"</f>
        <v>Облицовка бампера пе</v>
      </c>
      <c r="C6727">
        <v>3</v>
      </c>
      <c r="D6727">
        <v>1489.2</v>
      </c>
    </row>
    <row r="6728" spans="1:4">
      <c r="A6728" t="str">
        <f>"62660-JD00A"</f>
        <v>62660-JD00A</v>
      </c>
      <c r="B6728" t="str">
        <f>"Кронштейн бампер"</f>
        <v>Кронштейн бампер</v>
      </c>
      <c r="C6728">
        <v>10</v>
      </c>
      <c r="D6728">
        <v>4695.6719999999996</v>
      </c>
    </row>
    <row r="6729" spans="1:4">
      <c r="A6729" t="str">
        <f>"62660-JD00B"</f>
        <v>62660-JD00B</v>
      </c>
      <c r="B6729" t="str">
        <f>"Кронштейн бампер"</f>
        <v>Кронштейн бампер</v>
      </c>
      <c r="C6729">
        <v>3</v>
      </c>
      <c r="D6729">
        <v>3902.5199999999995</v>
      </c>
    </row>
    <row r="6730" spans="1:4">
      <c r="A6730" t="str">
        <f>"62663-9U000"</f>
        <v>62663-9U000</v>
      </c>
      <c r="B6730" t="str">
        <f>"Держатель бампера пл"</f>
        <v>Держатель бампера пл</v>
      </c>
      <c r="C6730">
        <v>25</v>
      </c>
      <c r="D6730">
        <v>3953.5199999999995</v>
      </c>
    </row>
    <row r="6731" spans="1:4">
      <c r="A6731" t="str">
        <f>"62663-AU300"</f>
        <v>62663-AU300</v>
      </c>
      <c r="B6731" t="str">
        <f>"BRACKET-APRON,L"</f>
        <v>BRACKET-APRON,L</v>
      </c>
      <c r="C6731">
        <v>6</v>
      </c>
      <c r="D6731">
        <v>4085.712</v>
      </c>
    </row>
    <row r="6732" spans="1:4">
      <c r="A6732" t="str">
        <f>"62663-BH00H"</f>
        <v>62663-BH00H</v>
      </c>
      <c r="B6732" t="str">
        <f>"Держатель бампера пл"</f>
        <v>Держатель бампера пл</v>
      </c>
      <c r="C6732">
        <v>5</v>
      </c>
      <c r="D6732">
        <v>4555.7280000000001</v>
      </c>
    </row>
    <row r="6733" spans="1:4">
      <c r="A6733" t="str">
        <f>"62663-EM00A"</f>
        <v>62663-EM00A</v>
      </c>
      <c r="B6733" t="str">
        <f>"Держатель бампера пл"</f>
        <v>Держатель бампера пл</v>
      </c>
      <c r="C6733">
        <v>0</v>
      </c>
      <c r="D6733">
        <v>3053.0639999999999</v>
      </c>
    </row>
    <row r="6734" spans="1:4">
      <c r="A6734" t="str">
        <f>"62683-95F0A"</f>
        <v>62683-95F0A</v>
      </c>
      <c r="B6734" t="str">
        <f>"Кронштейн бампер"</f>
        <v>Кронштейн бампер</v>
      </c>
      <c r="C6734">
        <v>1</v>
      </c>
      <c r="D6734">
        <v>844.15200000000004</v>
      </c>
    </row>
    <row r="6735" spans="1:4">
      <c r="A6735" t="str">
        <f>"62683-95F0B"</f>
        <v>62683-95F0B</v>
      </c>
      <c r="B6735" t="str">
        <f>"Кронштейн бампер"</f>
        <v>Кронштейн бампер</v>
      </c>
      <c r="C6735">
        <v>0</v>
      </c>
      <c r="D6735">
        <v>1222.7760000000001</v>
      </c>
    </row>
    <row r="6736" spans="1:4">
      <c r="A6736" t="str">
        <f>"62684-CA000"</f>
        <v>62684-CA000</v>
      </c>
      <c r="B6736" t="str">
        <f>"COVER SIDE VENT"</f>
        <v>COVER SIDE VENT</v>
      </c>
      <c r="C6736">
        <v>1</v>
      </c>
      <c r="D6736">
        <v>2498.5919999999996</v>
      </c>
    </row>
    <row r="6737" spans="1:4">
      <c r="A6737" t="str">
        <f>"62810-JG30A"</f>
        <v>62810-JG30A</v>
      </c>
      <c r="B6737" t="str">
        <f>"Направляющая воздушн"</f>
        <v>Направляющая воздушн</v>
      </c>
      <c r="C6737">
        <v>10</v>
      </c>
      <c r="D6737">
        <v>1858.44</v>
      </c>
    </row>
    <row r="6738" spans="1:4">
      <c r="A6738" t="str">
        <f>"62810-JG70A"</f>
        <v>62810-JG70A</v>
      </c>
      <c r="B6738" t="str">
        <f>"GUIDE-AIR.FRONT"</f>
        <v>GUIDE-AIR.FRONT</v>
      </c>
      <c r="C6738">
        <v>0</v>
      </c>
      <c r="D6738">
        <v>1286.8319999999999</v>
      </c>
    </row>
    <row r="6739" spans="1:4">
      <c r="A6739" t="str">
        <f>"62820-9U01A"</f>
        <v>62820-9U01A</v>
      </c>
      <c r="B6739" t="str">
        <f t="shared" ref="B6739:B6753" si="131">"Направляющая воздушн"</f>
        <v>Направляющая воздушн</v>
      </c>
      <c r="C6739">
        <v>18</v>
      </c>
      <c r="D6739">
        <v>1780.104</v>
      </c>
    </row>
    <row r="6740" spans="1:4">
      <c r="A6740" t="str">
        <f>"62822-3UB0A"</f>
        <v>62822-3UB0A</v>
      </c>
      <c r="B6740" t="str">
        <f t="shared" si="131"/>
        <v>Направляющая воздушн</v>
      </c>
      <c r="C6740">
        <v>0</v>
      </c>
      <c r="D6740">
        <v>1985.328</v>
      </c>
    </row>
    <row r="6741" spans="1:4">
      <c r="A6741" t="str">
        <f>"62822-9U000"</f>
        <v>62822-9U000</v>
      </c>
      <c r="B6741" t="str">
        <f t="shared" si="131"/>
        <v>Направляющая воздушн</v>
      </c>
      <c r="C6741">
        <v>7</v>
      </c>
      <c r="D6741">
        <v>2215.44</v>
      </c>
    </row>
    <row r="6742" spans="1:4">
      <c r="A6742" t="str">
        <f>"62822-9U01A"</f>
        <v>62822-9U01A</v>
      </c>
      <c r="B6742" t="str">
        <f t="shared" si="131"/>
        <v>Направляющая воздушн</v>
      </c>
      <c r="C6742">
        <v>16</v>
      </c>
      <c r="D6742">
        <v>1977.9839999999999</v>
      </c>
    </row>
    <row r="6743" spans="1:4">
      <c r="A6743" t="str">
        <f>"62822-BR00A"</f>
        <v>62822-BR00A</v>
      </c>
      <c r="B6743" t="str">
        <f t="shared" si="131"/>
        <v>Направляющая воздушн</v>
      </c>
      <c r="C6743">
        <v>0</v>
      </c>
      <c r="D6743">
        <v>1362.3119999999999</v>
      </c>
    </row>
    <row r="6744" spans="1:4">
      <c r="A6744" t="str">
        <f>"62822-BR20A"</f>
        <v>62822-BR20A</v>
      </c>
      <c r="B6744" t="str">
        <f t="shared" si="131"/>
        <v>Направляющая воздушн</v>
      </c>
      <c r="C6744">
        <v>0</v>
      </c>
      <c r="D6744">
        <v>1288.8719999999998</v>
      </c>
    </row>
    <row r="6745" spans="1:4">
      <c r="A6745" t="str">
        <f>"62822-EL70A"</f>
        <v>62822-EL70A</v>
      </c>
      <c r="B6745" t="str">
        <f t="shared" si="131"/>
        <v>Направляющая воздушн</v>
      </c>
      <c r="C6745">
        <v>3</v>
      </c>
      <c r="D6745">
        <v>1639.752</v>
      </c>
    </row>
    <row r="6746" spans="1:4">
      <c r="A6746" t="str">
        <f>"62822-JD20A"</f>
        <v>62822-JD20A</v>
      </c>
      <c r="B6746" t="str">
        <f t="shared" si="131"/>
        <v>Направляющая воздушн</v>
      </c>
      <c r="C6746">
        <v>50</v>
      </c>
      <c r="D6746">
        <v>1753.1759999999999</v>
      </c>
    </row>
    <row r="6747" spans="1:4">
      <c r="A6747" t="str">
        <f>"62822-JD20C"</f>
        <v>62822-JD20C</v>
      </c>
      <c r="B6747" t="str">
        <f t="shared" si="131"/>
        <v>Направляющая воздушн</v>
      </c>
      <c r="C6747">
        <v>4</v>
      </c>
      <c r="D6747">
        <v>1935.5519999999999</v>
      </c>
    </row>
    <row r="6748" spans="1:4">
      <c r="A6748" t="str">
        <f>"62823-3UB0A"</f>
        <v>62823-3UB0A</v>
      </c>
      <c r="B6748" t="str">
        <f t="shared" si="131"/>
        <v>Направляющая воздушн</v>
      </c>
      <c r="C6748">
        <v>0</v>
      </c>
      <c r="D6748">
        <v>2169.3359999999998</v>
      </c>
    </row>
    <row r="6749" spans="1:4">
      <c r="A6749" t="str">
        <f>"62823-9U000"</f>
        <v>62823-9U000</v>
      </c>
      <c r="B6749" t="str">
        <f t="shared" si="131"/>
        <v>Направляющая воздушн</v>
      </c>
      <c r="C6749">
        <v>4</v>
      </c>
      <c r="D6749">
        <v>1689.12</v>
      </c>
    </row>
    <row r="6750" spans="1:4">
      <c r="A6750" t="str">
        <f>"62823-EM00A"</f>
        <v>62823-EM00A</v>
      </c>
      <c r="B6750" t="str">
        <f t="shared" si="131"/>
        <v>Направляющая воздушн</v>
      </c>
      <c r="C6750">
        <v>6</v>
      </c>
      <c r="D6750">
        <v>1589.568</v>
      </c>
    </row>
    <row r="6751" spans="1:4">
      <c r="A6751" t="str">
        <f>"62823-JD20A"</f>
        <v>62823-JD20A</v>
      </c>
      <c r="B6751" t="str">
        <f t="shared" si="131"/>
        <v>Направляющая воздушн</v>
      </c>
      <c r="C6751">
        <v>24</v>
      </c>
      <c r="D6751">
        <v>1671.576</v>
      </c>
    </row>
    <row r="6752" spans="1:4">
      <c r="A6752" t="str">
        <f>"62823-JD20C"</f>
        <v>62823-JD20C</v>
      </c>
      <c r="B6752" t="str">
        <f t="shared" si="131"/>
        <v>Направляющая воздушн</v>
      </c>
      <c r="C6752">
        <v>12</v>
      </c>
      <c r="D6752">
        <v>1837.6319999999998</v>
      </c>
    </row>
    <row r="6753" spans="1:4">
      <c r="A6753" t="str">
        <f>"62823-JG30A"</f>
        <v>62823-JG30A</v>
      </c>
      <c r="B6753" t="str">
        <f t="shared" si="131"/>
        <v>Направляющая воздушн</v>
      </c>
      <c r="C6753">
        <v>10</v>
      </c>
      <c r="D6753">
        <v>1784.5920000000001</v>
      </c>
    </row>
    <row r="6754" spans="1:4">
      <c r="A6754" t="str">
        <f>"62840-95F0A"</f>
        <v>62840-95F0A</v>
      </c>
      <c r="B6754" t="str">
        <f>"Отбойник капота"</f>
        <v>Отбойник капота</v>
      </c>
      <c r="C6754">
        <v>14</v>
      </c>
      <c r="D6754">
        <v>93.023999999999987</v>
      </c>
    </row>
    <row r="6755" spans="1:4">
      <c r="A6755" t="str">
        <f>"62840-H8500"</f>
        <v>62840-H8500</v>
      </c>
      <c r="B6755" t="str">
        <f>"BMPR HOOD FR"</f>
        <v>BMPR HOOD FR</v>
      </c>
      <c r="C6755">
        <v>8</v>
      </c>
      <c r="D6755">
        <v>148.512</v>
      </c>
    </row>
    <row r="6756" spans="1:4">
      <c r="A6756" t="str">
        <f>"62890-1KA0A"</f>
        <v>62890-1KA0A</v>
      </c>
      <c r="B6756" t="str">
        <f>"Эмблема передняя"</f>
        <v>Эмблема передняя</v>
      </c>
      <c r="C6756">
        <v>4</v>
      </c>
      <c r="D6756">
        <v>953.08799999999997</v>
      </c>
    </row>
    <row r="6757" spans="1:4">
      <c r="A6757" t="str">
        <f>"62890-3Y500"</f>
        <v>62890-3Y500</v>
      </c>
      <c r="B6757" t="str">
        <f>"EMBLEM RAD GRIL"</f>
        <v>EMBLEM RAD GRIL</v>
      </c>
      <c r="C6757">
        <v>8</v>
      </c>
      <c r="D6757">
        <v>796.00800000000004</v>
      </c>
    </row>
    <row r="6758" spans="1:4">
      <c r="A6758" t="str">
        <f>"62890-5X10A"</f>
        <v>62890-5X10A</v>
      </c>
      <c r="B6758" t="str">
        <f>"Эмблема передняя"</f>
        <v>Эмблема передняя</v>
      </c>
      <c r="C6758">
        <v>2</v>
      </c>
      <c r="D6758">
        <v>2541.8399999999997</v>
      </c>
    </row>
    <row r="6759" spans="1:4">
      <c r="A6759" t="str">
        <f>"62890-6Y500"</f>
        <v>62890-6Y500</v>
      </c>
      <c r="B6759" t="str">
        <f>"EMBLEM RAD GRIL"</f>
        <v>EMBLEM RAD GRIL</v>
      </c>
      <c r="C6759">
        <v>12</v>
      </c>
      <c r="D6759">
        <v>711.95999999999992</v>
      </c>
    </row>
    <row r="6760" spans="1:4">
      <c r="A6760" t="str">
        <f>"62890-7S600"</f>
        <v>62890-7S600</v>
      </c>
      <c r="B6760" t="str">
        <f>"EMBLEM-FR"</f>
        <v>EMBLEM-FR</v>
      </c>
      <c r="C6760">
        <v>2</v>
      </c>
      <c r="D6760">
        <v>996.3359999999999</v>
      </c>
    </row>
    <row r="6761" spans="1:4">
      <c r="A6761" t="str">
        <f>"62890-8H700"</f>
        <v>62890-8H700</v>
      </c>
      <c r="B6761" t="str">
        <f>"EMBLEM RAD GRIL"</f>
        <v>EMBLEM RAD GRIL</v>
      </c>
      <c r="C6761">
        <v>2</v>
      </c>
      <c r="D6761">
        <v>913.10399999999993</v>
      </c>
    </row>
    <row r="6762" spans="1:4">
      <c r="A6762" t="str">
        <f>"62890-AX600"</f>
        <v>62890-AX600</v>
      </c>
      <c r="B6762" t="str">
        <f>"EMBLEM RAD GRIL"</f>
        <v>EMBLEM RAD GRIL</v>
      </c>
      <c r="C6762">
        <v>24</v>
      </c>
      <c r="D6762">
        <v>957.98400000000004</v>
      </c>
    </row>
    <row r="6763" spans="1:4">
      <c r="A6763" t="str">
        <f>"62890-BH02A"</f>
        <v>62890-BH02A</v>
      </c>
      <c r="B6763" t="str">
        <f>"Эмблема передняя"</f>
        <v>Эмблема передняя</v>
      </c>
      <c r="C6763">
        <v>32</v>
      </c>
      <c r="D6763">
        <v>935.952</v>
      </c>
    </row>
    <row r="6764" spans="1:4">
      <c r="A6764" t="str">
        <f>"62890-BN700"</f>
        <v>62890-BN700</v>
      </c>
      <c r="B6764" t="str">
        <f>"EMBLEM-FRONT"</f>
        <v>EMBLEM-FRONT</v>
      </c>
      <c r="C6764">
        <v>16</v>
      </c>
      <c r="D6764">
        <v>1210.5359999999998</v>
      </c>
    </row>
    <row r="6765" spans="1:4">
      <c r="A6765" t="str">
        <f>"62890-CA000"</f>
        <v>62890-CA000</v>
      </c>
      <c r="B6765" t="str">
        <f>"EMBLEM-FRONT"</f>
        <v>EMBLEM-FRONT</v>
      </c>
      <c r="C6765">
        <v>1</v>
      </c>
      <c r="D6765">
        <v>906.57600000000002</v>
      </c>
    </row>
    <row r="6766" spans="1:4">
      <c r="A6766" t="str">
        <f>"62890-EB300"</f>
        <v>62890-EB300</v>
      </c>
      <c r="B6766" t="str">
        <f>"EMBLEM-FRONT"</f>
        <v>EMBLEM-FRONT</v>
      </c>
      <c r="C6766">
        <v>5</v>
      </c>
      <c r="D6766">
        <v>1988.1839999999997</v>
      </c>
    </row>
    <row r="6767" spans="1:4">
      <c r="A6767" t="str">
        <f>"62890-EM30A"</f>
        <v>62890-EM30A</v>
      </c>
      <c r="B6767" t="str">
        <f>"Эмблема передняя"</f>
        <v>Эмблема передняя</v>
      </c>
      <c r="C6767">
        <v>12</v>
      </c>
      <c r="D6767">
        <v>665.44799999999998</v>
      </c>
    </row>
    <row r="6768" spans="1:4">
      <c r="A6768" t="str">
        <f>"62890-EQ000"</f>
        <v>62890-EQ000</v>
      </c>
      <c r="B6768" t="str">
        <f>"EMBLEM RAD GRIL"</f>
        <v>EMBLEM RAD GRIL</v>
      </c>
      <c r="C6768">
        <v>19</v>
      </c>
      <c r="D6768">
        <v>894.3359999999999</v>
      </c>
    </row>
    <row r="6769" spans="1:4">
      <c r="A6769" t="str">
        <f>"62890-JD000"</f>
        <v>62890-JD000</v>
      </c>
      <c r="B6769" t="str">
        <f>"Эмблема передняя"</f>
        <v>Эмблема передняя</v>
      </c>
      <c r="C6769">
        <v>44</v>
      </c>
      <c r="D6769">
        <v>1557.336</v>
      </c>
    </row>
    <row r="6770" spans="1:4">
      <c r="A6770" t="str">
        <f>"62890-JG000"</f>
        <v>62890-JG000</v>
      </c>
      <c r="B6770" t="str">
        <f>"Эмблема передняя"</f>
        <v>Эмблема передняя</v>
      </c>
      <c r="C6770">
        <v>52</v>
      </c>
      <c r="D6770">
        <v>904.12800000000004</v>
      </c>
    </row>
    <row r="6771" spans="1:4">
      <c r="A6771" t="str">
        <f>"62890-VC200"</f>
        <v>62890-VC200</v>
      </c>
      <c r="B6771" t="str">
        <f>"EMBLEM RAD GRIL"</f>
        <v>EMBLEM RAD GRIL</v>
      </c>
      <c r="C6771">
        <v>2</v>
      </c>
      <c r="D6771">
        <v>911.47199999999987</v>
      </c>
    </row>
    <row r="6772" spans="1:4">
      <c r="A6772" t="str">
        <f>"62890-VD200"</f>
        <v>62890-VD200</v>
      </c>
      <c r="B6772" t="str">
        <f>"EMBLEM RAD GRIL"</f>
        <v>EMBLEM RAD GRIL</v>
      </c>
      <c r="C6772">
        <v>10</v>
      </c>
      <c r="D6772">
        <v>928.19999999999993</v>
      </c>
    </row>
    <row r="6773" spans="1:4">
      <c r="A6773" t="str">
        <f>"62890-ZQ50A"</f>
        <v>62890-ZQ50A</v>
      </c>
      <c r="B6773" t="str">
        <f>"Эмблема передняя"</f>
        <v>Эмблема передняя</v>
      </c>
      <c r="C6773">
        <v>0</v>
      </c>
      <c r="D6773">
        <v>920.85599999999999</v>
      </c>
    </row>
    <row r="6774" spans="1:4">
      <c r="A6774" t="str">
        <f>"62892-CG000"</f>
        <v>62892-CG000</v>
      </c>
      <c r="B6774" t="str">
        <f>"EMBLEM RAD GRIL"</f>
        <v>EMBLEM RAD GRIL</v>
      </c>
      <c r="C6774">
        <v>1</v>
      </c>
      <c r="D6774">
        <v>1221.9599999999998</v>
      </c>
    </row>
    <row r="6775" spans="1:4">
      <c r="A6775" t="str">
        <f>"62892-CN000"</f>
        <v>62892-CN000</v>
      </c>
      <c r="B6775" t="str">
        <f>"Эмблема передняя"</f>
        <v>Эмблема передняя</v>
      </c>
      <c r="C6775">
        <v>21</v>
      </c>
      <c r="D6775">
        <v>963.69600000000003</v>
      </c>
    </row>
    <row r="6776" spans="1:4">
      <c r="A6776" t="str">
        <f>"62897-JN00A"</f>
        <v>62897-JN00A</v>
      </c>
      <c r="B6776" t="str">
        <f>"Эмблема передняя"</f>
        <v>Эмблема передняя</v>
      </c>
      <c r="C6776">
        <v>31</v>
      </c>
      <c r="D6776">
        <v>933.096</v>
      </c>
    </row>
    <row r="6777" spans="1:4">
      <c r="A6777" t="str">
        <f>"63100-1LB0A"</f>
        <v>63100-1LB0A</v>
      </c>
      <c r="B6777" t="str">
        <f>"FENDER-FRONT.RH"</f>
        <v>FENDER-FRONT.RH</v>
      </c>
      <c r="C6777">
        <v>0</v>
      </c>
      <c r="D6777">
        <v>9597.7919999999995</v>
      </c>
    </row>
    <row r="6778" spans="1:4">
      <c r="A6778" t="str">
        <f>"63100-9Y035"</f>
        <v>63100-9Y035</v>
      </c>
      <c r="B6778" t="str">
        <f>"Крыло переднее право"</f>
        <v>Крыло переднее право</v>
      </c>
      <c r="C6778">
        <v>0</v>
      </c>
      <c r="D6778">
        <v>7868.6879999999992</v>
      </c>
    </row>
    <row r="6779" spans="1:4">
      <c r="A6779" t="str">
        <f>"63100-AV630"</f>
        <v>63100-AV630</v>
      </c>
      <c r="B6779" t="str">
        <f>"FENDER-FRONT,RH"</f>
        <v>FENDER-FRONT,RH</v>
      </c>
      <c r="C6779">
        <v>1</v>
      </c>
      <c r="D6779">
        <v>5714.04</v>
      </c>
    </row>
    <row r="6780" spans="1:4">
      <c r="A6780" t="str">
        <f>"63100-AX630"</f>
        <v>63100-AX630</v>
      </c>
      <c r="B6780" t="str">
        <f>"FENDER-FRONT,RH"</f>
        <v>FENDER-FRONT,RH</v>
      </c>
      <c r="C6780">
        <v>0</v>
      </c>
      <c r="D6780">
        <v>4444.3440000000001</v>
      </c>
    </row>
    <row r="6781" spans="1:4">
      <c r="A6781" t="str">
        <f>"63100-BN730"</f>
        <v>63100-BN730</v>
      </c>
      <c r="B6781" t="str">
        <f>"FENDER-FRONT,RH"</f>
        <v>FENDER-FRONT,RH</v>
      </c>
      <c r="C6781">
        <v>2</v>
      </c>
      <c r="D6781">
        <v>4444.3440000000001</v>
      </c>
    </row>
    <row r="6782" spans="1:4">
      <c r="A6782" t="str">
        <f>"63100-CG000"</f>
        <v>63100-CG000</v>
      </c>
      <c r="B6782" t="str">
        <f>"FRONT FENDER RH"</f>
        <v>FRONT FENDER RH</v>
      </c>
      <c r="C6782">
        <v>1</v>
      </c>
      <c r="D6782">
        <v>9120.0239999999994</v>
      </c>
    </row>
    <row r="6783" spans="1:4">
      <c r="A6783" t="str">
        <f>"63100-CL70A"</f>
        <v>63100-CL70A</v>
      </c>
      <c r="B6783" t="str">
        <f>"Крыло переднее право"</f>
        <v>Крыло переднее право</v>
      </c>
      <c r="C6783">
        <v>3</v>
      </c>
      <c r="D6783">
        <v>9477.84</v>
      </c>
    </row>
    <row r="6784" spans="1:4">
      <c r="A6784" t="str">
        <f>"63100-EB330"</f>
        <v>63100-EB330</v>
      </c>
      <c r="B6784" t="str">
        <f>"FENDER-FRONT,RH"</f>
        <v>FENDER-FRONT,RH</v>
      </c>
      <c r="C6784">
        <v>2</v>
      </c>
      <c r="D6784">
        <v>10474.992</v>
      </c>
    </row>
    <row r="6785" spans="1:4">
      <c r="A6785" t="str">
        <f>"63100-VD320"</f>
        <v>63100-VD320</v>
      </c>
      <c r="B6785" t="str">
        <f>"FENDER-FRONT,RH"</f>
        <v>FENDER-FRONT,RH</v>
      </c>
      <c r="C6785">
        <v>3</v>
      </c>
      <c r="D6785">
        <v>9632.8799999999992</v>
      </c>
    </row>
    <row r="6786" spans="1:4">
      <c r="A6786" t="str">
        <f>"63101-1LB0A"</f>
        <v>63101-1LB0A</v>
      </c>
      <c r="B6786" t="str">
        <f>"Крыло переднее левое"</f>
        <v>Крыло переднее левое</v>
      </c>
      <c r="C6786">
        <v>2</v>
      </c>
      <c r="D6786">
        <v>9261.1919999999991</v>
      </c>
    </row>
    <row r="6787" spans="1:4">
      <c r="A6787" t="str">
        <f>"63101-4M631"</f>
        <v>63101-4M631</v>
      </c>
      <c r="B6787" t="str">
        <f>"FENDER-FRONT,LH"</f>
        <v>FENDER-FRONT,LH</v>
      </c>
      <c r="C6787">
        <v>1</v>
      </c>
      <c r="D6787">
        <v>4444.3440000000001</v>
      </c>
    </row>
    <row r="6788" spans="1:4">
      <c r="A6788" t="str">
        <f>"63101-5Y130"</f>
        <v>63101-5Y130</v>
      </c>
      <c r="B6788" t="str">
        <f>"FENDER-FRONT,LH"</f>
        <v>FENDER-FRONT,LH</v>
      </c>
      <c r="C6788">
        <v>2</v>
      </c>
      <c r="D6788">
        <v>8571.2639999999992</v>
      </c>
    </row>
    <row r="6789" spans="1:4">
      <c r="A6789" t="str">
        <f>"63101-9Y035"</f>
        <v>63101-9Y035</v>
      </c>
      <c r="B6789" t="str">
        <f>"Крыло переднее левое"</f>
        <v>Крыло переднее левое</v>
      </c>
      <c r="C6789">
        <v>7</v>
      </c>
      <c r="D6789">
        <v>7982.1120000000001</v>
      </c>
    </row>
    <row r="6790" spans="1:4">
      <c r="A6790" t="str">
        <f>"63101-AV630"</f>
        <v>63101-AV630</v>
      </c>
      <c r="B6790" t="str">
        <f>"FENDER-FRONT,LH"</f>
        <v>FENDER-FRONT,LH</v>
      </c>
      <c r="C6790">
        <v>1</v>
      </c>
      <c r="D6790">
        <v>5714.04</v>
      </c>
    </row>
    <row r="6791" spans="1:4">
      <c r="A6791" t="str">
        <f>"63101-AX630"</f>
        <v>63101-AX630</v>
      </c>
      <c r="B6791" t="str">
        <f>"FENDER-FRONT,LH"</f>
        <v>FENDER-FRONT,LH</v>
      </c>
      <c r="C6791">
        <v>2</v>
      </c>
      <c r="D6791">
        <v>4444.3440000000001</v>
      </c>
    </row>
    <row r="6792" spans="1:4">
      <c r="A6792" t="str">
        <f>"63101-BN730"</f>
        <v>63101-BN730</v>
      </c>
      <c r="B6792" t="str">
        <f>"FENDER-FRONT,LH"</f>
        <v>FENDER-FRONT,LH</v>
      </c>
      <c r="C6792">
        <v>2</v>
      </c>
      <c r="D6792">
        <v>4444.3440000000001</v>
      </c>
    </row>
    <row r="6793" spans="1:4">
      <c r="A6793" t="str">
        <f>"63101-CG000"</f>
        <v>63101-CG000</v>
      </c>
      <c r="B6793" t="str">
        <f>"FRONT FENDER LH"</f>
        <v>FRONT FENDER LH</v>
      </c>
      <c r="C6793">
        <v>5</v>
      </c>
      <c r="D6793">
        <v>6723.0240000000003</v>
      </c>
    </row>
    <row r="6794" spans="1:4">
      <c r="A6794" t="str">
        <f>"63101-CL70A"</f>
        <v>63101-CL70A</v>
      </c>
      <c r="B6794" t="str">
        <f>"Крыло переднее левое"</f>
        <v>Крыло переднее левое</v>
      </c>
      <c r="C6794">
        <v>5</v>
      </c>
      <c r="D6794">
        <v>9527.2080000000005</v>
      </c>
    </row>
    <row r="6795" spans="1:4">
      <c r="A6795" t="str">
        <f>"63101-VD220"</f>
        <v>63101-VD220</v>
      </c>
      <c r="B6795" t="str">
        <f>"FENDER-FRONT,LH"</f>
        <v>FENDER-FRONT,LH</v>
      </c>
      <c r="C6795">
        <v>2</v>
      </c>
      <c r="D6795">
        <v>9632.8799999999992</v>
      </c>
    </row>
    <row r="6796" spans="1:4">
      <c r="A6796" t="str">
        <f>"63112-8H400"</f>
        <v>63112-8H400</v>
      </c>
      <c r="B6796" t="str">
        <f>"FENDER-FRONT,RH"</f>
        <v>FENDER-FRONT,RH</v>
      </c>
      <c r="C6796">
        <v>13</v>
      </c>
      <c r="D6796">
        <v>7922.5439999999999</v>
      </c>
    </row>
    <row r="6797" spans="1:4">
      <c r="A6797" t="str">
        <f>"63112-95F0B"</f>
        <v>63112-95F0B</v>
      </c>
      <c r="B6797" t="str">
        <f>"Крыло переднее право"</f>
        <v>Крыло переднее право</v>
      </c>
      <c r="C6797">
        <v>1</v>
      </c>
      <c r="D6797">
        <v>6083.28</v>
      </c>
    </row>
    <row r="6798" spans="1:4">
      <c r="A6798" t="str">
        <f>"63112-CB030"</f>
        <v>63112-CB030</v>
      </c>
      <c r="B6798" t="str">
        <f>"Крыло переднее право"</f>
        <v>Крыло переднее право</v>
      </c>
      <c r="C6798">
        <v>0</v>
      </c>
      <c r="D6798">
        <v>7698.1439999999993</v>
      </c>
    </row>
    <row r="6799" spans="1:4">
      <c r="A6799" t="str">
        <f>"63113-8H400"</f>
        <v>63113-8H400</v>
      </c>
      <c r="B6799" t="str">
        <f>"FENDER-FRONT,LH"</f>
        <v>FENDER-FRONT,LH</v>
      </c>
      <c r="C6799">
        <v>0</v>
      </c>
      <c r="D6799">
        <v>8792.4</v>
      </c>
    </row>
    <row r="6800" spans="1:4">
      <c r="A6800" t="str">
        <f>"63113-8H700"</f>
        <v>63113-8H700</v>
      </c>
      <c r="B6800" t="str">
        <f>"FENDER-FRONT,LH"</f>
        <v>FENDER-FRONT,LH</v>
      </c>
      <c r="C6800">
        <v>11</v>
      </c>
      <c r="D6800">
        <v>8792.4</v>
      </c>
    </row>
    <row r="6801" spans="1:4">
      <c r="A6801" t="str">
        <f>"63113-95F0B"</f>
        <v>63113-95F0B</v>
      </c>
      <c r="B6801" t="str">
        <f>"Крыло переднее левое"</f>
        <v>Крыло переднее левое</v>
      </c>
      <c r="C6801">
        <v>1</v>
      </c>
      <c r="D6801">
        <v>6229.7519999999995</v>
      </c>
    </row>
    <row r="6802" spans="1:4">
      <c r="A6802" t="str">
        <f>"63113-CA030"</f>
        <v>63113-CA030</v>
      </c>
      <c r="B6802" t="str">
        <f>"FENDER-FRONT LH"</f>
        <v>FENDER-FRONT LH</v>
      </c>
      <c r="C6802">
        <v>3</v>
      </c>
      <c r="D6802">
        <v>6235.8720000000003</v>
      </c>
    </row>
    <row r="6803" spans="1:4">
      <c r="A6803" t="str">
        <f>"63113-CB030"</f>
        <v>63113-CB030</v>
      </c>
      <c r="B6803" t="str">
        <f>"Крыло переднее левое"</f>
        <v>Крыло переднее левое</v>
      </c>
      <c r="C6803">
        <v>4</v>
      </c>
      <c r="D6803">
        <v>8039.2319999999991</v>
      </c>
    </row>
    <row r="6804" spans="1:4">
      <c r="A6804" t="str">
        <f>"63113-VK300"</f>
        <v>63113-VK300</v>
      </c>
      <c r="B6804" t="str">
        <f>"FENDER-FRONT,LH"</f>
        <v>FENDER-FRONT,LH</v>
      </c>
      <c r="C6804">
        <v>0</v>
      </c>
      <c r="D6804">
        <v>7826.2559999999994</v>
      </c>
    </row>
    <row r="6805" spans="1:4">
      <c r="A6805" t="str">
        <f>"63122-8H400"</f>
        <v>63122-8H400</v>
      </c>
      <c r="B6805" t="str">
        <f>"STIFFENER-FRONT"</f>
        <v>STIFFENER-FRONT</v>
      </c>
      <c r="C6805">
        <v>5</v>
      </c>
      <c r="D6805">
        <v>164.01599999999999</v>
      </c>
    </row>
    <row r="6806" spans="1:4">
      <c r="A6806" t="str">
        <f>"63122-JD00A"</f>
        <v>63122-JD00A</v>
      </c>
      <c r="B6806" t="str">
        <f>"Кронштейн переднего "</f>
        <v xml:space="preserve">Кронштейн переднего </v>
      </c>
      <c r="C6806">
        <v>4</v>
      </c>
      <c r="D6806">
        <v>558.14400000000001</v>
      </c>
    </row>
    <row r="6807" spans="1:4">
      <c r="A6807" t="str">
        <f>"63123-JD00A"</f>
        <v>63123-JD00A</v>
      </c>
      <c r="B6807" t="str">
        <f>"Кронштейн переднего "</f>
        <v xml:space="preserve">Кронштейн переднего </v>
      </c>
      <c r="C6807">
        <v>6</v>
      </c>
      <c r="D6807">
        <v>525.50400000000002</v>
      </c>
    </row>
    <row r="6808" spans="1:4">
      <c r="A6808" t="str">
        <f>"63144-8H300"</f>
        <v>63144-8H300</v>
      </c>
      <c r="B6808" t="str">
        <f>"BRACKET-FR,RH"</f>
        <v>BRACKET-FR,RH</v>
      </c>
      <c r="C6808">
        <v>0</v>
      </c>
      <c r="D6808">
        <v>679.72800000000007</v>
      </c>
    </row>
    <row r="6809" spans="1:4">
      <c r="A6809" t="str">
        <f>"63145-8H300"</f>
        <v>63145-8H300</v>
      </c>
      <c r="B6809" t="str">
        <f>"BRACKET-FR,LH"</f>
        <v>BRACKET-FR,LH</v>
      </c>
      <c r="C6809">
        <v>1</v>
      </c>
      <c r="D6809">
        <v>701.35199999999998</v>
      </c>
    </row>
    <row r="6810" spans="1:4">
      <c r="A6810" t="str">
        <f>"63180-8H301"</f>
        <v>63180-8H301</v>
      </c>
      <c r="B6810" t="str">
        <f>"STAY-FR FENDER"</f>
        <v>STAY-FR FENDER</v>
      </c>
      <c r="C6810">
        <v>1</v>
      </c>
      <c r="D6810">
        <v>168.096</v>
      </c>
    </row>
    <row r="6811" spans="1:4">
      <c r="A6811" t="str">
        <f>"63180-JN20A"</f>
        <v>63180-JN20A</v>
      </c>
      <c r="B6811" t="str">
        <f>"Кронштейн переднего "</f>
        <v xml:space="preserve">Кронштейн переднего </v>
      </c>
      <c r="C6811">
        <v>5</v>
      </c>
      <c r="D6811">
        <v>656.88</v>
      </c>
    </row>
    <row r="6812" spans="1:4">
      <c r="A6812" t="str">
        <f>"63181-8H300"</f>
        <v>63181-8H300</v>
      </c>
      <c r="B6812" t="str">
        <f>"STAY-FRONT FEND"</f>
        <v>STAY-FRONT FEND</v>
      </c>
      <c r="C6812">
        <v>2</v>
      </c>
      <c r="D6812">
        <v>173.80799999999999</v>
      </c>
    </row>
    <row r="6813" spans="1:4">
      <c r="A6813" t="str">
        <f>"63181-JN20A"</f>
        <v>63181-JN20A</v>
      </c>
      <c r="B6813" t="str">
        <f>"Кронштейн переднего "</f>
        <v xml:space="preserve">Кронштейн переднего </v>
      </c>
      <c r="C6813">
        <v>2</v>
      </c>
      <c r="D6813">
        <v>674.01599999999996</v>
      </c>
    </row>
    <row r="6814" spans="1:4">
      <c r="A6814" t="str">
        <f>"63182-95F0B"</f>
        <v>63182-95F0B</v>
      </c>
      <c r="B6814" t="str">
        <f>"Кронштейн переднего "</f>
        <v xml:space="preserve">Кронштейн переднего </v>
      </c>
      <c r="C6814">
        <v>0</v>
      </c>
      <c r="D6814">
        <v>372.91199999999998</v>
      </c>
    </row>
    <row r="6815" spans="1:4">
      <c r="A6815" t="str">
        <f>"63183-95F0B"</f>
        <v>63183-95F0B</v>
      </c>
      <c r="B6815" t="str">
        <f>"Кронштейн переднего "</f>
        <v xml:space="preserve">Кронштейн переднего </v>
      </c>
      <c r="C6815">
        <v>1</v>
      </c>
      <c r="D6815">
        <v>371.68799999999999</v>
      </c>
    </row>
    <row r="6816" spans="1:4">
      <c r="A6816" t="str">
        <f>"63198-4U00A"</f>
        <v>63198-4U00A</v>
      </c>
      <c r="B6816" t="str">
        <f>"Болт крепежный"</f>
        <v>Болт крепежный</v>
      </c>
      <c r="C6816">
        <v>13</v>
      </c>
      <c r="D6816">
        <v>48.959999999999994</v>
      </c>
    </row>
    <row r="6817" spans="1:4">
      <c r="A6817" t="str">
        <f>"63810-7F000"</f>
        <v>63810-7F000</v>
      </c>
      <c r="B6817" t="str">
        <f>"FENDER-OVER,FRO"</f>
        <v>FENDER-OVER,FRO</v>
      </c>
      <c r="C6817">
        <v>1</v>
      </c>
      <c r="D6817">
        <v>3060</v>
      </c>
    </row>
    <row r="6818" spans="1:4">
      <c r="A6818" t="str">
        <f>"63810-7S680"</f>
        <v>63810-7S680</v>
      </c>
      <c r="B6818" t="str">
        <f>"OVER FENDER ASS"</f>
        <v>OVER FENDER ASS</v>
      </c>
      <c r="C6818">
        <v>6</v>
      </c>
      <c r="D6818">
        <v>4929.0479999999998</v>
      </c>
    </row>
    <row r="6819" spans="1:4">
      <c r="A6819" t="str">
        <f>"63810-BR01A"</f>
        <v>63810-BR01A</v>
      </c>
      <c r="B6819" t="str">
        <f>"Облицовка арки крыла"</f>
        <v>Облицовка арки крыла</v>
      </c>
      <c r="C6819">
        <v>14</v>
      </c>
      <c r="D6819">
        <v>3766.6559999999999</v>
      </c>
    </row>
    <row r="6820" spans="1:4">
      <c r="A6820" t="str">
        <f>"63810-VD22B"</f>
        <v>63810-VD22B</v>
      </c>
      <c r="B6820" t="str">
        <f>"Надкрылок пластиковы"</f>
        <v>Надкрылок пластиковы</v>
      </c>
      <c r="C6820">
        <v>3</v>
      </c>
      <c r="D6820">
        <v>7406.8319999999994</v>
      </c>
    </row>
    <row r="6821" spans="1:4">
      <c r="A6821" t="str">
        <f>"63811-7S680"</f>
        <v>63811-7S680</v>
      </c>
      <c r="B6821" t="str">
        <f>"OVER FENDER ASS"</f>
        <v>OVER FENDER ASS</v>
      </c>
      <c r="C6821">
        <v>0</v>
      </c>
      <c r="D6821">
        <v>5178.3359999999993</v>
      </c>
    </row>
    <row r="6822" spans="1:4">
      <c r="A6822" t="str">
        <f>"63811-BR01A"</f>
        <v>63811-BR01A</v>
      </c>
      <c r="B6822" t="str">
        <f>"Облицовка арки крыла"</f>
        <v>Облицовка арки крыла</v>
      </c>
      <c r="C6822">
        <v>0</v>
      </c>
      <c r="D6822">
        <v>3912.3119999999999</v>
      </c>
    </row>
    <row r="6823" spans="1:4">
      <c r="A6823" t="str">
        <f>"63811-VD22B"</f>
        <v>63811-VD22B</v>
      </c>
      <c r="B6823" t="str">
        <f>"Надкрылок пластиковы"</f>
        <v>Надкрылок пластиковы</v>
      </c>
      <c r="C6823">
        <v>5</v>
      </c>
      <c r="D6823">
        <v>8253.84</v>
      </c>
    </row>
    <row r="6824" spans="1:4">
      <c r="A6824" t="str">
        <f>"63813-VB100"</f>
        <v>63813-VB100</v>
      </c>
      <c r="B6824" t="str">
        <f>"FENDER-OVER,FRO"</f>
        <v>FENDER-OVER,FRO</v>
      </c>
      <c r="C6824">
        <v>1</v>
      </c>
      <c r="D6824">
        <v>8174.6879999999992</v>
      </c>
    </row>
    <row r="6825" spans="1:4">
      <c r="A6825" t="str">
        <f>"63814-0W605"</f>
        <v>63814-0W605</v>
      </c>
      <c r="B6825" t="str">
        <f>"OVER FENDER,RH"</f>
        <v>OVER FENDER,RH</v>
      </c>
      <c r="C6825">
        <v>0</v>
      </c>
      <c r="D6825">
        <v>2551.6320000000001</v>
      </c>
    </row>
    <row r="6826" spans="1:4">
      <c r="A6826" t="str">
        <f>"63817-VB100"</f>
        <v>63817-VB100</v>
      </c>
      <c r="B6826" t="str">
        <f>"OVER FENDER,LH"</f>
        <v>OVER FENDER,LH</v>
      </c>
      <c r="C6826">
        <v>1</v>
      </c>
      <c r="D6826">
        <v>5195.0640000000003</v>
      </c>
    </row>
    <row r="6827" spans="1:4">
      <c r="A6827" t="str">
        <f>"63818-VB002"</f>
        <v>63818-VB002</v>
      </c>
      <c r="B6827" t="str">
        <f>"RUBBER ASSY,LH"</f>
        <v>RUBBER ASSY,LH</v>
      </c>
      <c r="C6827">
        <v>3</v>
      </c>
      <c r="D6827">
        <v>450.02399999999994</v>
      </c>
    </row>
    <row r="6828" spans="1:4">
      <c r="A6828" t="str">
        <f>"63818-VB100"</f>
        <v>63818-VB100</v>
      </c>
      <c r="B6828" t="str">
        <f>"RUBBER ASSY,LH"</f>
        <v>RUBBER ASSY,LH</v>
      </c>
      <c r="C6828">
        <v>0</v>
      </c>
      <c r="D6828">
        <v>455.32799999999997</v>
      </c>
    </row>
    <row r="6829" spans="1:4">
      <c r="A6829" t="str">
        <f>"63819-VB002"</f>
        <v>63819-VB002</v>
      </c>
      <c r="B6829" t="str">
        <f>"RUBBER ASSY,LH"</f>
        <v>RUBBER ASSY,LH</v>
      </c>
      <c r="C6829">
        <v>0</v>
      </c>
      <c r="D6829">
        <v>447.16799999999995</v>
      </c>
    </row>
    <row r="6830" spans="1:4">
      <c r="A6830" t="str">
        <f>"63819-VB100"</f>
        <v>63819-VB100</v>
      </c>
      <c r="B6830" t="str">
        <f>"RUBBER ASSY,LH"</f>
        <v>RUBBER ASSY,LH</v>
      </c>
      <c r="C6830">
        <v>2</v>
      </c>
      <c r="D6830">
        <v>451.24799999999999</v>
      </c>
    </row>
    <row r="6831" spans="1:4">
      <c r="A6831" t="str">
        <f>"63820-JD000"</f>
        <v>63820-JD000</v>
      </c>
      <c r="B6831" t="str">
        <f>"Уплотнитель надкрылк"</f>
        <v>Уплотнитель надкрылк</v>
      </c>
      <c r="C6831">
        <v>6</v>
      </c>
      <c r="D6831">
        <v>314.16000000000003</v>
      </c>
    </row>
    <row r="6832" spans="1:4">
      <c r="A6832" t="str">
        <f>"63823-95F0A"</f>
        <v>63823-95F0A</v>
      </c>
      <c r="B6832" t="str">
        <f>"Подкрылок пластиковы"</f>
        <v>Подкрылок пластиковы</v>
      </c>
      <c r="C6832">
        <v>4</v>
      </c>
      <c r="D6832">
        <v>1587.12</v>
      </c>
    </row>
    <row r="6833" spans="1:4">
      <c r="A6833" t="str">
        <f>"63824-1CJ0A"</f>
        <v>63824-1CJ0A</v>
      </c>
      <c r="B6833" t="str">
        <f>"Решетка воздухов"</f>
        <v>Решетка воздухов</v>
      </c>
      <c r="C6833">
        <v>8</v>
      </c>
      <c r="D6833">
        <v>3461.0639999999999</v>
      </c>
    </row>
    <row r="6834" spans="1:4">
      <c r="A6834" t="str">
        <f>"63825-1CJ0A"</f>
        <v>63825-1CJ0A</v>
      </c>
      <c r="B6834" t="str">
        <f>"Решетка воздухов"</f>
        <v>Решетка воздухов</v>
      </c>
      <c r="C6834">
        <v>8</v>
      </c>
      <c r="D6834">
        <v>3443.1120000000001</v>
      </c>
    </row>
    <row r="6835" spans="1:4">
      <c r="A6835" t="str">
        <f>"63830-7S600"</f>
        <v>63830-7S600</v>
      </c>
      <c r="B6835" t="str">
        <f>"Подкрылок пластиковы"</f>
        <v>Подкрылок пластиковы</v>
      </c>
      <c r="C6835">
        <v>8</v>
      </c>
      <c r="D6835">
        <v>2821.3199999999997</v>
      </c>
    </row>
    <row r="6836" spans="1:4">
      <c r="A6836" t="str">
        <f>"63830-ZQ10A"</f>
        <v>63830-ZQ10A</v>
      </c>
      <c r="B6836" t="str">
        <f>"Подкрылок пластиковы"</f>
        <v>Подкрылок пластиковы</v>
      </c>
      <c r="C6836">
        <v>0</v>
      </c>
      <c r="D6836">
        <v>1947.7919999999999</v>
      </c>
    </row>
    <row r="6837" spans="1:4">
      <c r="A6837" t="str">
        <f>"63831-7S600"</f>
        <v>63831-7S600</v>
      </c>
      <c r="B6837" t="str">
        <f>"Подкрылок пластиковы"</f>
        <v>Подкрылок пластиковы</v>
      </c>
      <c r="C6837">
        <v>10</v>
      </c>
      <c r="D6837">
        <v>3149.3519999999999</v>
      </c>
    </row>
    <row r="6838" spans="1:4">
      <c r="A6838" t="str">
        <f>"63831-ZQ10A"</f>
        <v>63831-ZQ10A</v>
      </c>
      <c r="B6838" t="str">
        <f>"Подкрылок пластиковы"</f>
        <v>Подкрылок пластиковы</v>
      </c>
      <c r="C6838">
        <v>0</v>
      </c>
      <c r="D6838">
        <v>1991.04</v>
      </c>
    </row>
    <row r="6839" spans="1:4">
      <c r="A6839" t="str">
        <f>"63833-JK50A"</f>
        <v>63833-JK50A</v>
      </c>
      <c r="B6839" t="str">
        <f>"Кожух пластиковый мо"</f>
        <v>Кожух пластиковый мо</v>
      </c>
      <c r="C6839">
        <v>2</v>
      </c>
      <c r="D6839">
        <v>242.352</v>
      </c>
    </row>
    <row r="6840" spans="1:4">
      <c r="A6840" t="str">
        <f>"63838-95F0A"</f>
        <v>63838-95F0A</v>
      </c>
      <c r="B6840" t="str">
        <f>"Защита переднего кры"</f>
        <v>Защита переднего кры</v>
      </c>
      <c r="C6840">
        <v>6</v>
      </c>
      <c r="D6840">
        <v>434.928</v>
      </c>
    </row>
    <row r="6841" spans="1:4">
      <c r="A6841" t="str">
        <f>"63839-95F0A"</f>
        <v>63839-95F0A</v>
      </c>
      <c r="B6841" t="str">
        <f>"Защита переднего кры"</f>
        <v>Защита переднего кры</v>
      </c>
      <c r="C6841">
        <v>0</v>
      </c>
      <c r="D6841">
        <v>434.928</v>
      </c>
    </row>
    <row r="6842" spans="1:4">
      <c r="A6842" t="str">
        <f>"63840-1AA0A"</f>
        <v>63840-1AA0A</v>
      </c>
      <c r="B6842" t="str">
        <f>"Подкрылок пластиковы"</f>
        <v>Подкрылок пластиковы</v>
      </c>
      <c r="C6842">
        <v>5</v>
      </c>
      <c r="D6842">
        <v>1883.328</v>
      </c>
    </row>
    <row r="6843" spans="1:4">
      <c r="A6843" t="str">
        <f>"63840-1LB0A"</f>
        <v>63840-1LB0A</v>
      </c>
      <c r="B6843" t="str">
        <f>"Подкрылок пластиковы"</f>
        <v>Подкрылок пластиковы</v>
      </c>
      <c r="C6843">
        <v>0</v>
      </c>
      <c r="D6843">
        <v>2913.9360000000001</v>
      </c>
    </row>
    <row r="6844" spans="1:4">
      <c r="A6844" t="str">
        <f>"63840-2Y000"</f>
        <v>63840-2Y000</v>
      </c>
      <c r="B6844" t="str">
        <f>"PROTECTOR-FR,RH"</f>
        <v>PROTECTOR-FR,RH</v>
      </c>
      <c r="C6844">
        <v>0</v>
      </c>
      <c r="D6844">
        <v>2102.0160000000001</v>
      </c>
    </row>
    <row r="6845" spans="1:4">
      <c r="A6845" t="str">
        <f>"63840-3X00A"</f>
        <v>63840-3X00A</v>
      </c>
      <c r="B6845" t="str">
        <f>"Подкрылок пластиковы"</f>
        <v>Подкрылок пластиковы</v>
      </c>
      <c r="C6845">
        <v>18</v>
      </c>
      <c r="D6845">
        <v>4365.192</v>
      </c>
    </row>
    <row r="6846" spans="1:4">
      <c r="A6846" t="str">
        <f>"63840-3X30A"</f>
        <v>63840-3X30A</v>
      </c>
      <c r="B6846" t="str">
        <f>"Подкрылок пластиковы"</f>
        <v>Подкрылок пластиковы</v>
      </c>
      <c r="C6846">
        <v>10</v>
      </c>
      <c r="D6846">
        <v>4021.6559999999999</v>
      </c>
    </row>
    <row r="6847" spans="1:4">
      <c r="A6847" t="str">
        <f>"63840-8H91A"</f>
        <v>63840-8H91A</v>
      </c>
      <c r="B6847" t="str">
        <f>"Подкрылок пластиковы"</f>
        <v>Подкрылок пластиковы</v>
      </c>
      <c r="C6847">
        <v>2</v>
      </c>
      <c r="D6847">
        <v>1347.2160000000001</v>
      </c>
    </row>
    <row r="6848" spans="1:4">
      <c r="A6848" t="str">
        <f>"63840-9U20B"</f>
        <v>63840-9U20B</v>
      </c>
      <c r="B6848" t="str">
        <f>"Подкрылок пластиковы"</f>
        <v>Подкрылок пластиковы</v>
      </c>
      <c r="C6848">
        <v>0</v>
      </c>
      <c r="D6848">
        <v>2571.2159999999999</v>
      </c>
    </row>
    <row r="6849" spans="1:4">
      <c r="A6849" t="str">
        <f>"63840-AV600"</f>
        <v>63840-AV600</v>
      </c>
      <c r="B6849" t="str">
        <f>"PROTECTOR-FRONT"</f>
        <v>PROTECTOR-FRONT</v>
      </c>
      <c r="C6849">
        <v>3</v>
      </c>
      <c r="D6849">
        <v>2365.5839999999998</v>
      </c>
    </row>
    <row r="6850" spans="1:4">
      <c r="A6850" t="str">
        <f>"63840-BR00A"</f>
        <v>63840-BR00A</v>
      </c>
      <c r="B6850" t="str">
        <f t="shared" ref="B6850:B6856" si="132">"Подкрылок пластиковы"</f>
        <v>Подкрылок пластиковы</v>
      </c>
      <c r="C6850">
        <v>10</v>
      </c>
      <c r="D6850">
        <v>2202.384</v>
      </c>
    </row>
    <row r="6851" spans="1:4">
      <c r="A6851" t="str">
        <f>"63840-BR20A"</f>
        <v>63840-BR20A</v>
      </c>
      <c r="B6851" t="str">
        <f t="shared" si="132"/>
        <v>Подкрылок пластиковы</v>
      </c>
      <c r="C6851">
        <v>5</v>
      </c>
      <c r="D6851">
        <v>2671.5840000000003</v>
      </c>
    </row>
    <row r="6852" spans="1:4">
      <c r="A6852" t="str">
        <f>"63840-EQ00A"</f>
        <v>63840-EQ00A</v>
      </c>
      <c r="B6852" t="str">
        <f t="shared" si="132"/>
        <v>Подкрылок пластиковы</v>
      </c>
      <c r="C6852">
        <v>0</v>
      </c>
      <c r="D6852">
        <v>1781.328</v>
      </c>
    </row>
    <row r="6853" spans="1:4">
      <c r="A6853" t="str">
        <f>"63840-JG30A"</f>
        <v>63840-JG30A</v>
      </c>
      <c r="B6853" t="str">
        <f t="shared" si="132"/>
        <v>Подкрылок пластиковы</v>
      </c>
      <c r="C6853">
        <v>1</v>
      </c>
      <c r="D6853">
        <v>2106.096</v>
      </c>
    </row>
    <row r="6854" spans="1:4">
      <c r="A6854" t="str">
        <f>"63840-KA41A"</f>
        <v>63840-KA41A</v>
      </c>
      <c r="B6854" t="str">
        <f t="shared" si="132"/>
        <v>Подкрылок пластиковы</v>
      </c>
      <c r="C6854">
        <v>0</v>
      </c>
      <c r="D6854">
        <v>2372.1120000000001</v>
      </c>
    </row>
    <row r="6855" spans="1:4">
      <c r="A6855" t="str">
        <f>"63841-1AN0A"</f>
        <v>63841-1AN0A</v>
      </c>
      <c r="B6855" t="str">
        <f t="shared" si="132"/>
        <v>Подкрылок пластиковы</v>
      </c>
      <c r="C6855">
        <v>0</v>
      </c>
      <c r="D6855">
        <v>2295</v>
      </c>
    </row>
    <row r="6856" spans="1:4">
      <c r="A6856" t="str">
        <f>"63841-1LB0A"</f>
        <v>63841-1LB0A</v>
      </c>
      <c r="B6856" t="str">
        <f t="shared" si="132"/>
        <v>Подкрылок пластиковы</v>
      </c>
      <c r="C6856">
        <v>0</v>
      </c>
      <c r="D6856">
        <v>2928.2159999999999</v>
      </c>
    </row>
    <row r="6857" spans="1:4">
      <c r="A6857" t="str">
        <f>"63841-2Y000"</f>
        <v>63841-2Y000</v>
      </c>
      <c r="B6857" t="str">
        <f>"PROTECTOR-FR,LH"</f>
        <v>PROTECTOR-FR,LH</v>
      </c>
      <c r="C6857">
        <v>0</v>
      </c>
      <c r="D6857">
        <v>2217.8879999999999</v>
      </c>
    </row>
    <row r="6858" spans="1:4">
      <c r="A6858" t="str">
        <f>"63841-3X00A"</f>
        <v>63841-3X00A</v>
      </c>
      <c r="B6858" t="str">
        <f>"Подкрылок пластиковы"</f>
        <v>Подкрылок пластиковы</v>
      </c>
      <c r="C6858">
        <v>11</v>
      </c>
      <c r="D6858">
        <v>4125.6959999999999</v>
      </c>
    </row>
    <row r="6859" spans="1:4">
      <c r="A6859" t="str">
        <f>"63841-3X30A"</f>
        <v>63841-3X30A</v>
      </c>
      <c r="B6859" t="str">
        <f>"Подкрылок пластиковы"</f>
        <v>Подкрылок пластиковы</v>
      </c>
      <c r="C6859">
        <v>13</v>
      </c>
      <c r="D6859">
        <v>3750.3360000000002</v>
      </c>
    </row>
    <row r="6860" spans="1:4">
      <c r="A6860" t="str">
        <f>"63841-40U20"</f>
        <v>63841-40U20</v>
      </c>
      <c r="B6860" t="str">
        <f>"PROTECTOR-FR,LH"</f>
        <v>PROTECTOR-FR,LH</v>
      </c>
      <c r="C6860">
        <v>1</v>
      </c>
      <c r="D6860">
        <v>1958.3999999999999</v>
      </c>
    </row>
    <row r="6861" spans="1:4">
      <c r="A6861" t="str">
        <f>"63841-8H91A"</f>
        <v>63841-8H91A</v>
      </c>
      <c r="B6861" t="str">
        <f>"Подкрылок пластиковы"</f>
        <v>Подкрылок пластиковы</v>
      </c>
      <c r="C6861">
        <v>3</v>
      </c>
      <c r="D6861">
        <v>1324.3680000000002</v>
      </c>
    </row>
    <row r="6862" spans="1:4">
      <c r="A6862" t="str">
        <f>"63841-9U20A"</f>
        <v>63841-9U20A</v>
      </c>
      <c r="B6862" t="str">
        <f>"Подкрылок пластиковы"</f>
        <v>Подкрылок пластиковы</v>
      </c>
      <c r="C6862">
        <v>1</v>
      </c>
      <c r="D6862">
        <v>2661.384</v>
      </c>
    </row>
    <row r="6863" spans="1:4">
      <c r="A6863" t="str">
        <f>"63841-AV600"</f>
        <v>63841-AV600</v>
      </c>
      <c r="B6863" t="str">
        <f>"PROTECTOR-FRONT"</f>
        <v>PROTECTOR-FRONT</v>
      </c>
      <c r="C6863">
        <v>0</v>
      </c>
      <c r="D6863">
        <v>2304.384</v>
      </c>
    </row>
    <row r="6864" spans="1:4">
      <c r="A6864" t="str">
        <f>"63841-BR00A"</f>
        <v>63841-BR00A</v>
      </c>
      <c r="B6864" t="str">
        <f>"Подкрылок пластиковы"</f>
        <v>Подкрылок пластиковы</v>
      </c>
      <c r="C6864">
        <v>0</v>
      </c>
      <c r="D6864">
        <v>2286.0239999999999</v>
      </c>
    </row>
    <row r="6865" spans="1:4">
      <c r="A6865" t="str">
        <f>"63841-BR20A"</f>
        <v>63841-BR20A</v>
      </c>
      <c r="B6865" t="str">
        <f>"Подкрылок пластиковы"</f>
        <v>Подкрылок пластиковы</v>
      </c>
      <c r="C6865">
        <v>5</v>
      </c>
      <c r="D6865">
        <v>2800.9199999999996</v>
      </c>
    </row>
    <row r="6866" spans="1:4">
      <c r="A6866" t="str">
        <f>"63841-EQ00A"</f>
        <v>63841-EQ00A</v>
      </c>
      <c r="B6866" t="str">
        <f>"Подкрылок пластиковы"</f>
        <v>Подкрылок пластиковы</v>
      </c>
      <c r="C6866">
        <v>11</v>
      </c>
      <c r="D6866">
        <v>1857.2159999999999</v>
      </c>
    </row>
    <row r="6867" spans="1:4">
      <c r="A6867" t="str">
        <f>"63841-JG30B"</f>
        <v>63841-JG30B</v>
      </c>
      <c r="B6867" t="str">
        <f>"Подкрылок пластиковы"</f>
        <v>Подкрылок пластиковы</v>
      </c>
      <c r="C6867">
        <v>0</v>
      </c>
      <c r="D6867">
        <v>2043.6719999999998</v>
      </c>
    </row>
    <row r="6868" spans="1:4">
      <c r="A6868" t="str">
        <f>"63841-KA41A"</f>
        <v>63841-KA41A</v>
      </c>
      <c r="B6868" t="str">
        <f>"Подкрылок пластиковы"</f>
        <v>Подкрылок пластиковы</v>
      </c>
      <c r="C6868">
        <v>5</v>
      </c>
      <c r="D6868">
        <v>2217.48</v>
      </c>
    </row>
    <row r="6869" spans="1:4">
      <c r="A6869" t="str">
        <f>"63842-0N000"</f>
        <v>63842-0N000</v>
      </c>
      <c r="B6869" t="str">
        <f>"PROTECTOR-FR,RH"</f>
        <v>PROTECTOR-FR,RH</v>
      </c>
      <c r="C6869">
        <v>2</v>
      </c>
      <c r="D6869">
        <v>1507.152</v>
      </c>
    </row>
    <row r="6870" spans="1:4">
      <c r="A6870" t="str">
        <f>"63842-1CA0A"</f>
        <v>63842-1CA0A</v>
      </c>
      <c r="B6870" t="str">
        <f>"Подкрылок пластиковы"</f>
        <v>Подкрылок пластиковы</v>
      </c>
      <c r="C6870">
        <v>2</v>
      </c>
      <c r="D6870">
        <v>1130.568</v>
      </c>
    </row>
    <row r="6871" spans="1:4">
      <c r="A6871" t="str">
        <f>"63842-2J000"</f>
        <v>63842-2J000</v>
      </c>
      <c r="B6871" t="str">
        <f>"PROTECTOR-FR,RH"</f>
        <v>PROTECTOR-FR,RH</v>
      </c>
      <c r="C6871">
        <v>3</v>
      </c>
      <c r="D6871">
        <v>1271.328</v>
      </c>
    </row>
    <row r="6872" spans="1:4">
      <c r="A6872" t="str">
        <f>"63842-9U000"</f>
        <v>63842-9U000</v>
      </c>
      <c r="B6872" t="str">
        <f>"Подкрылок пластиковы"</f>
        <v>Подкрылок пластиковы</v>
      </c>
      <c r="C6872">
        <v>0</v>
      </c>
      <c r="D6872">
        <v>2490.8399999999997</v>
      </c>
    </row>
    <row r="6873" spans="1:4">
      <c r="A6873" t="str">
        <f>"63842-9Y000"</f>
        <v>63842-9Y000</v>
      </c>
      <c r="B6873" t="str">
        <f>"Подкрылок пластиковы"</f>
        <v>Подкрылок пластиковы</v>
      </c>
      <c r="C6873">
        <v>2</v>
      </c>
      <c r="D6873">
        <v>1148.52</v>
      </c>
    </row>
    <row r="6874" spans="1:4">
      <c r="A6874" t="str">
        <f>"63842-9Y500"</f>
        <v>63842-9Y500</v>
      </c>
      <c r="B6874" t="str">
        <f>"Подкрылок пластиковы"</f>
        <v>Подкрылок пластиковы</v>
      </c>
      <c r="C6874">
        <v>0</v>
      </c>
      <c r="D6874">
        <v>1148.52</v>
      </c>
    </row>
    <row r="6875" spans="1:4">
      <c r="A6875" t="str">
        <f>"63842-AX600"</f>
        <v>63842-AX600</v>
      </c>
      <c r="B6875" t="str">
        <f>"PROTECTOR-FRONT"</f>
        <v>PROTECTOR-FRONT</v>
      </c>
      <c r="C6875">
        <v>7</v>
      </c>
      <c r="D6875">
        <v>2031.0239999999999</v>
      </c>
    </row>
    <row r="6876" spans="1:4">
      <c r="A6876" t="str">
        <f>"63842-BN800"</f>
        <v>63842-BN800</v>
      </c>
      <c r="B6876" t="str">
        <f>"PROTECTOR-FR,RH"</f>
        <v>PROTECTOR-FR,RH</v>
      </c>
      <c r="C6876">
        <v>1</v>
      </c>
      <c r="D6876">
        <v>1672.3920000000001</v>
      </c>
    </row>
    <row r="6877" spans="1:4">
      <c r="A6877" t="str">
        <f>"63842-CA000"</f>
        <v>63842-CA000</v>
      </c>
      <c r="B6877" t="str">
        <f>"PROTECTOR-FRONT"</f>
        <v>PROTECTOR-FRONT</v>
      </c>
      <c r="C6877">
        <v>0</v>
      </c>
      <c r="D6877">
        <v>1206.048</v>
      </c>
    </row>
    <row r="6878" spans="1:4">
      <c r="A6878" t="str">
        <f>"63842-CG020"</f>
        <v>63842-CG020</v>
      </c>
      <c r="B6878" t="str">
        <f>"PROTECTOR-FR FE"</f>
        <v>PROTECTOR-FR FE</v>
      </c>
      <c r="C6878">
        <v>3</v>
      </c>
      <c r="D6878">
        <v>1537.752</v>
      </c>
    </row>
    <row r="6879" spans="1:4">
      <c r="A6879" t="str">
        <f>"63842-EL05B"</f>
        <v>63842-EL05B</v>
      </c>
      <c r="B6879" t="str">
        <f>"Подкрылок пластиковы"</f>
        <v>Подкрылок пластиковы</v>
      </c>
      <c r="C6879">
        <v>0</v>
      </c>
      <c r="D6879">
        <v>2155.8719999999998</v>
      </c>
    </row>
    <row r="6880" spans="1:4">
      <c r="A6880" t="str">
        <f>"63842-VD200"</f>
        <v>63842-VD200</v>
      </c>
      <c r="B6880" t="str">
        <f>"PROTECTOR-FR,RH"</f>
        <v>PROTECTOR-FR,RH</v>
      </c>
      <c r="C6880">
        <v>2</v>
      </c>
      <c r="D6880">
        <v>1305.5999999999999</v>
      </c>
    </row>
    <row r="6881" spans="1:4">
      <c r="A6881" t="str">
        <f>"63843-0N000"</f>
        <v>63843-0N000</v>
      </c>
      <c r="B6881" t="str">
        <f>"PROTECTOR-FR,LH"</f>
        <v>PROTECTOR-FR,LH</v>
      </c>
      <c r="C6881">
        <v>2</v>
      </c>
      <c r="D6881">
        <v>1454.9280000000001</v>
      </c>
    </row>
    <row r="6882" spans="1:4">
      <c r="A6882" t="str">
        <f>"63843-1CA0A"</f>
        <v>63843-1CA0A</v>
      </c>
      <c r="B6882" t="str">
        <f>"Подкрылок пластиковы"</f>
        <v>Подкрылок пластиковы</v>
      </c>
      <c r="C6882">
        <v>2</v>
      </c>
      <c r="D6882">
        <v>1152.192</v>
      </c>
    </row>
    <row r="6883" spans="1:4">
      <c r="A6883" t="str">
        <f>"63843-9U000"</f>
        <v>63843-9U000</v>
      </c>
      <c r="B6883" t="str">
        <f>"Подкрылок пластиковы"</f>
        <v>Подкрылок пластиковы</v>
      </c>
      <c r="C6883">
        <v>0</v>
      </c>
      <c r="D6883">
        <v>2281.5360000000001</v>
      </c>
    </row>
    <row r="6884" spans="1:4">
      <c r="A6884" t="str">
        <f>"63843-9Y000"</f>
        <v>63843-9Y000</v>
      </c>
      <c r="B6884" t="str">
        <f>"Подкрылок пластиковы"</f>
        <v>Подкрылок пластиковы</v>
      </c>
      <c r="C6884">
        <v>2</v>
      </c>
      <c r="D6884">
        <v>1102.008</v>
      </c>
    </row>
    <row r="6885" spans="1:4">
      <c r="A6885" t="str">
        <f>"63843-AX600"</f>
        <v>63843-AX600</v>
      </c>
      <c r="B6885" t="str">
        <f>"PROTECTOR-FRONT"</f>
        <v>PROTECTOR-FRONT</v>
      </c>
      <c r="C6885">
        <v>4</v>
      </c>
      <c r="D6885">
        <v>2006.5439999999999</v>
      </c>
    </row>
    <row r="6886" spans="1:4">
      <c r="A6886" t="str">
        <f>"63843-BN800"</f>
        <v>63843-BN800</v>
      </c>
      <c r="B6886" t="str">
        <f>"PROTECTOR-FR,LH"</f>
        <v>PROTECTOR-FR,LH</v>
      </c>
      <c r="C6886">
        <v>0</v>
      </c>
      <c r="D6886">
        <v>1686.2639999999999</v>
      </c>
    </row>
    <row r="6887" spans="1:4">
      <c r="A6887" t="str">
        <f>"63843-CA000"</f>
        <v>63843-CA000</v>
      </c>
      <c r="B6887" t="str">
        <f>"PROTECTOR-FR,LH"</f>
        <v>PROTECTOR-FR,LH</v>
      </c>
      <c r="C6887">
        <v>0</v>
      </c>
      <c r="D6887">
        <v>1209.72</v>
      </c>
    </row>
    <row r="6888" spans="1:4">
      <c r="A6888" t="str">
        <f>"63843-CG000"</f>
        <v>63843-CG000</v>
      </c>
      <c r="B6888" t="str">
        <f>"PROTECTOR"</f>
        <v>PROTECTOR</v>
      </c>
      <c r="C6888">
        <v>12</v>
      </c>
      <c r="D6888">
        <v>1313.76</v>
      </c>
    </row>
    <row r="6889" spans="1:4">
      <c r="A6889" t="str">
        <f>"63843-EG000"</f>
        <v>63843-EG000</v>
      </c>
      <c r="B6889" t="str">
        <f>"Подкрылок пластиковы"</f>
        <v>Подкрылок пластиковы</v>
      </c>
      <c r="C6889">
        <v>1</v>
      </c>
      <c r="D6889">
        <v>2293.7759999999998</v>
      </c>
    </row>
    <row r="6890" spans="1:4">
      <c r="A6890" t="str">
        <f>"63843-EL05B"</f>
        <v>63843-EL05B</v>
      </c>
      <c r="B6890" t="str">
        <f>"Подкрылок пластиковы"</f>
        <v>Подкрылок пластиковы</v>
      </c>
      <c r="C6890">
        <v>5</v>
      </c>
      <c r="D6890">
        <v>2158.7280000000001</v>
      </c>
    </row>
    <row r="6891" spans="1:4">
      <c r="A6891" t="str">
        <f>"63843-VB000"</f>
        <v>63843-VB000</v>
      </c>
      <c r="B6891" t="str">
        <f>"PROTECTOR-FR,LH"</f>
        <v>PROTECTOR-FR,LH</v>
      </c>
      <c r="C6891">
        <v>0</v>
      </c>
      <c r="D6891">
        <v>1376.5920000000001</v>
      </c>
    </row>
    <row r="6892" spans="1:4">
      <c r="A6892" t="str">
        <f>"63843-VD200"</f>
        <v>63843-VD200</v>
      </c>
      <c r="B6892" t="str">
        <f>"Подкрылок пластиковы"</f>
        <v>Подкрылок пластиковы</v>
      </c>
      <c r="C6892">
        <v>2</v>
      </c>
      <c r="D6892">
        <v>1323.1439999999998</v>
      </c>
    </row>
    <row r="6893" spans="1:4">
      <c r="A6893" t="str">
        <f>"63844-0W000"</f>
        <v>63844-0W000</v>
      </c>
      <c r="B6893" t="str">
        <f>"PROTECTOR ASSY-"</f>
        <v>PROTECTOR ASSY-</v>
      </c>
      <c r="C6893">
        <v>4</v>
      </c>
      <c r="D6893">
        <v>1441.4639999999999</v>
      </c>
    </row>
    <row r="6894" spans="1:4">
      <c r="A6894" t="str">
        <f>"63844-1CA0A"</f>
        <v>63844-1CA0A</v>
      </c>
      <c r="B6894" t="str">
        <f>"Подкрылок пластиковы"</f>
        <v>Подкрылок пластиковы</v>
      </c>
      <c r="C6894">
        <v>7</v>
      </c>
      <c r="D6894">
        <v>1866.6</v>
      </c>
    </row>
    <row r="6895" spans="1:4">
      <c r="A6895" t="str">
        <f>"63844-9Y000"</f>
        <v>63844-9Y000</v>
      </c>
      <c r="B6895" t="str">
        <f>"Подкрылок пластиковы"</f>
        <v>Подкрылок пластиковы</v>
      </c>
      <c r="C6895">
        <v>0</v>
      </c>
      <c r="D6895">
        <v>1020.8159999999999</v>
      </c>
    </row>
    <row r="6896" spans="1:4">
      <c r="A6896" t="str">
        <f>"63844-CA00A"</f>
        <v>63844-CA00A</v>
      </c>
      <c r="B6896" t="str">
        <f>"Подкрылок пластиковы"</f>
        <v>Подкрылок пластиковы</v>
      </c>
      <c r="C6896">
        <v>1</v>
      </c>
      <c r="D6896">
        <v>820.07999999999993</v>
      </c>
    </row>
    <row r="6897" spans="1:4">
      <c r="A6897" t="str">
        <f>"63844-CG000"</f>
        <v>63844-CG000</v>
      </c>
      <c r="B6897" t="str">
        <f>"PROTECTOR ASSY-"</f>
        <v>PROTECTOR ASSY-</v>
      </c>
      <c r="C6897">
        <v>9</v>
      </c>
      <c r="D6897">
        <v>2013.0719999999999</v>
      </c>
    </row>
    <row r="6898" spans="1:4">
      <c r="A6898" t="str">
        <f>"63844-CL70A"</f>
        <v>63844-CL70A</v>
      </c>
      <c r="B6898" t="str">
        <f>"Подкрылок пластиковы"</f>
        <v>Подкрылок пластиковы</v>
      </c>
      <c r="C6898">
        <v>4</v>
      </c>
      <c r="D6898">
        <v>1853.136</v>
      </c>
    </row>
    <row r="6899" spans="1:4">
      <c r="A6899" t="str">
        <f>"63844-EG000"</f>
        <v>63844-EG000</v>
      </c>
      <c r="B6899" t="str">
        <f>"Подкрылок пластиковы"</f>
        <v>Подкрылок пластиковы</v>
      </c>
      <c r="C6899">
        <v>9</v>
      </c>
      <c r="D6899">
        <v>2653.2239999999997</v>
      </c>
    </row>
    <row r="6900" spans="1:4">
      <c r="A6900" t="str">
        <f>"63844-EJ90A"</f>
        <v>63844-EJ90A</v>
      </c>
      <c r="B6900" t="str">
        <f>"Подкрылок пластиковы"</f>
        <v>Подкрылок пластиковы</v>
      </c>
      <c r="C6900">
        <v>8</v>
      </c>
      <c r="D6900">
        <v>2534.4959999999996</v>
      </c>
    </row>
    <row r="6901" spans="1:4">
      <c r="A6901" t="str">
        <f>"63844-JK000"</f>
        <v>63844-JK000</v>
      </c>
      <c r="B6901" t="str">
        <f>"Подкрылок пластиковы"</f>
        <v>Подкрылок пластиковы</v>
      </c>
      <c r="C6901">
        <v>2</v>
      </c>
      <c r="D6901">
        <v>1531.2239999999999</v>
      </c>
    </row>
    <row r="6902" spans="1:4">
      <c r="A6902" t="str">
        <f>"63845-0W000"</f>
        <v>63845-0W000</v>
      </c>
      <c r="B6902" t="str">
        <f>"PROTECTOR"</f>
        <v>PROTECTOR</v>
      </c>
      <c r="C6902">
        <v>1</v>
      </c>
      <c r="D6902">
        <v>1392.0959999999998</v>
      </c>
    </row>
    <row r="6903" spans="1:4">
      <c r="A6903" t="str">
        <f>"63845-1BA0A"</f>
        <v>63845-1BA0A</v>
      </c>
      <c r="B6903" t="str">
        <f>"Подкрылок пластиковы"</f>
        <v>Подкрылок пластиковы</v>
      </c>
      <c r="C6903">
        <v>4</v>
      </c>
      <c r="D6903">
        <v>926.976</v>
      </c>
    </row>
    <row r="6904" spans="1:4">
      <c r="A6904" t="str">
        <f>"63845-1CA0A"</f>
        <v>63845-1CA0A</v>
      </c>
      <c r="B6904" t="str">
        <f>"Подкрылок пластиковы"</f>
        <v>Подкрылок пластиковы</v>
      </c>
      <c r="C6904">
        <v>6</v>
      </c>
      <c r="D6904">
        <v>1901.6879999999999</v>
      </c>
    </row>
    <row r="6905" spans="1:4">
      <c r="A6905" t="str">
        <f>"63845-2W100"</f>
        <v>63845-2W100</v>
      </c>
      <c r="B6905" t="str">
        <f>"PROTECTOR ASSY-"</f>
        <v>PROTECTOR ASSY-</v>
      </c>
      <c r="C6905">
        <v>4</v>
      </c>
      <c r="D6905">
        <v>1396.1759999999999</v>
      </c>
    </row>
    <row r="6906" spans="1:4">
      <c r="A6906" t="str">
        <f>"63845-9Y000"</f>
        <v>63845-9Y000</v>
      </c>
      <c r="B6906" t="str">
        <f>"Подкрылок пластиковы"</f>
        <v>Подкрылок пластиковы</v>
      </c>
      <c r="C6906">
        <v>1</v>
      </c>
      <c r="D6906">
        <v>864.95999999999992</v>
      </c>
    </row>
    <row r="6907" spans="1:4">
      <c r="A6907" t="str">
        <f>"63845-CA00A"</f>
        <v>63845-CA00A</v>
      </c>
      <c r="B6907" t="str">
        <f>"Подкрылок пластиковы"</f>
        <v>Подкрылок пластиковы</v>
      </c>
      <c r="C6907">
        <v>0</v>
      </c>
      <c r="D6907">
        <v>928.60799999999995</v>
      </c>
    </row>
    <row r="6908" spans="1:4">
      <c r="A6908" t="str">
        <f>"63845-CC00A"</f>
        <v>63845-CC00A</v>
      </c>
      <c r="B6908" t="str">
        <f>"Подкрылок пластиковы"</f>
        <v>Подкрылок пластиковы</v>
      </c>
      <c r="C6908">
        <v>0</v>
      </c>
      <c r="D6908">
        <v>913.10399999999993</v>
      </c>
    </row>
    <row r="6909" spans="1:4">
      <c r="A6909" t="str">
        <f>"63845-CG000"</f>
        <v>63845-CG000</v>
      </c>
      <c r="B6909" t="str">
        <f>"PROTECTOR ASSY-"</f>
        <v>PROTECTOR ASSY-</v>
      </c>
      <c r="C6909">
        <v>5</v>
      </c>
      <c r="D6909">
        <v>1992.2639999999999</v>
      </c>
    </row>
    <row r="6910" spans="1:4">
      <c r="A6910" t="str">
        <f>"63845-CL70A"</f>
        <v>63845-CL70A</v>
      </c>
      <c r="B6910" t="str">
        <f>"Подкрылок пластиковы"</f>
        <v>Подкрылок пластиковы</v>
      </c>
      <c r="C6910">
        <v>6</v>
      </c>
      <c r="D6910">
        <v>1890.2639999999999</v>
      </c>
    </row>
    <row r="6911" spans="1:4">
      <c r="A6911" t="str">
        <f>"63845-EG000"</f>
        <v>63845-EG000</v>
      </c>
      <c r="B6911" t="str">
        <f>"Подкрылок пластиковы"</f>
        <v>Подкрылок пластиковы</v>
      </c>
      <c r="C6911">
        <v>0</v>
      </c>
      <c r="D6911">
        <v>2627.52</v>
      </c>
    </row>
    <row r="6912" spans="1:4">
      <c r="A6912" t="str">
        <f>"63845-EJ90A"</f>
        <v>63845-EJ90A</v>
      </c>
      <c r="B6912" t="str">
        <f>"Подкрылок пластиковы"</f>
        <v>Подкрылок пластиковы</v>
      </c>
      <c r="C6912">
        <v>9</v>
      </c>
      <c r="D6912">
        <v>2636.904</v>
      </c>
    </row>
    <row r="6913" spans="1:4">
      <c r="A6913" t="str">
        <f>"63845-JK000"</f>
        <v>63845-JK000</v>
      </c>
      <c r="B6913" t="str">
        <f>"Подкрылок пластиковы"</f>
        <v>Подкрылок пластиковы</v>
      </c>
      <c r="C6913">
        <v>5</v>
      </c>
      <c r="D6913">
        <v>1570.8</v>
      </c>
    </row>
    <row r="6914" spans="1:4">
      <c r="A6914" t="str">
        <f>"63846-5V000"</f>
        <v>63846-5V000</v>
      </c>
      <c r="B6914" t="str">
        <f>"CROMMET-SCREW"</f>
        <v>CROMMET-SCREW</v>
      </c>
      <c r="C6914">
        <v>5</v>
      </c>
      <c r="D6914">
        <v>50.591999999999992</v>
      </c>
    </row>
    <row r="6915" spans="1:4">
      <c r="A6915" t="str">
        <f>"63846-8H300"</f>
        <v>63846-8H300</v>
      </c>
      <c r="B6915" t="str">
        <f>"GROMMET-SCREW"</f>
        <v>GROMMET-SCREW</v>
      </c>
      <c r="C6915">
        <v>37</v>
      </c>
      <c r="D6915">
        <v>34.271999999999998</v>
      </c>
    </row>
    <row r="6916" spans="1:4">
      <c r="A6916" t="str">
        <f>"63848-01G00"</f>
        <v>63848-01G00</v>
      </c>
      <c r="B6916" t="str">
        <f>"CLIP"</f>
        <v>CLIP</v>
      </c>
      <c r="C6916">
        <v>21</v>
      </c>
      <c r="D6916">
        <v>23.663999999999998</v>
      </c>
    </row>
    <row r="6917" spans="1:4">
      <c r="A6917" t="str">
        <f>"63848-35F00"</f>
        <v>63848-35F00</v>
      </c>
      <c r="B6917" t="str">
        <f>"CLIP"</f>
        <v>CLIP</v>
      </c>
      <c r="C6917">
        <v>53</v>
      </c>
      <c r="D6917">
        <v>48.143999999999998</v>
      </c>
    </row>
    <row r="6918" spans="1:4">
      <c r="A6918" t="str">
        <f>"63848-4M500"</f>
        <v>63848-4M500</v>
      </c>
      <c r="B6918" t="str">
        <f>"CANOE RIVET"</f>
        <v>CANOE RIVET</v>
      </c>
      <c r="C6918">
        <v>34</v>
      </c>
      <c r="D6918">
        <v>73.847999999999999</v>
      </c>
    </row>
    <row r="6919" spans="1:4">
      <c r="A6919" t="str">
        <f>"63848-8H300"</f>
        <v>63848-8H300</v>
      </c>
      <c r="B6919" t="str">
        <f>"CANOE RIVET"</f>
        <v>CANOE RIVET</v>
      </c>
      <c r="C6919">
        <v>7</v>
      </c>
      <c r="D6919">
        <v>94.248000000000005</v>
      </c>
    </row>
    <row r="6920" spans="1:4">
      <c r="A6920" t="str">
        <f>"63848-95F0A"</f>
        <v>63848-95F0A</v>
      </c>
      <c r="B6920" t="str">
        <f>"Пистон крепления под"</f>
        <v>Пистон крепления под</v>
      </c>
      <c r="C6920">
        <v>2</v>
      </c>
      <c r="D6920">
        <v>125.25599999999999</v>
      </c>
    </row>
    <row r="6921" spans="1:4">
      <c r="A6921" t="str">
        <f>"63848-9Y000"</f>
        <v>63848-9Y000</v>
      </c>
      <c r="B6921" t="str">
        <f>"Пистон крепления под"</f>
        <v>Пистон крепления под</v>
      </c>
      <c r="C6921">
        <v>24</v>
      </c>
      <c r="D6921">
        <v>97.103999999999999</v>
      </c>
    </row>
    <row r="6922" spans="1:4">
      <c r="A6922" t="str">
        <f>"63848-D4000"</f>
        <v>63848-D4000</v>
      </c>
      <c r="B6922" t="str">
        <f>"CLIP"</f>
        <v>CLIP</v>
      </c>
      <c r="C6922">
        <v>0</v>
      </c>
      <c r="D6922">
        <v>35.495999999999995</v>
      </c>
    </row>
    <row r="6923" spans="1:4">
      <c r="A6923" t="str">
        <f>"63848-VD210"</f>
        <v>63848-VD210</v>
      </c>
      <c r="B6923" t="str">
        <f>"Пистон крепления под"</f>
        <v>Пистон крепления под</v>
      </c>
      <c r="C6923">
        <v>55</v>
      </c>
      <c r="D6923">
        <v>33.455999999999996</v>
      </c>
    </row>
    <row r="6924" spans="1:4">
      <c r="A6924" t="str">
        <f>"63848-VD220"</f>
        <v>63848-VD220</v>
      </c>
      <c r="B6924" t="str">
        <f>"Пистон крепления под"</f>
        <v>Пистон крепления под</v>
      </c>
      <c r="C6924">
        <v>18</v>
      </c>
      <c r="D6924">
        <v>66.095999999999989</v>
      </c>
    </row>
    <row r="6925" spans="1:4">
      <c r="A6925" t="str">
        <f>"63848-VD24A"</f>
        <v>63848-VD24A</v>
      </c>
      <c r="B6925" t="str">
        <f>"Держатель расширител"</f>
        <v>Держатель расширител</v>
      </c>
      <c r="C6925">
        <v>13</v>
      </c>
      <c r="D6925">
        <v>47.327999999999996</v>
      </c>
    </row>
    <row r="6926" spans="1:4">
      <c r="A6926" t="str">
        <f>"63848-VD300"</f>
        <v>63848-VD300</v>
      </c>
      <c r="B6926" t="str">
        <f>"NUT-SPRING"</f>
        <v>NUT-SPRING</v>
      </c>
      <c r="C6926">
        <v>9</v>
      </c>
      <c r="D6926">
        <v>71.399999999999991</v>
      </c>
    </row>
    <row r="6927" spans="1:4">
      <c r="A6927" t="str">
        <f>"63848-VS70B"</f>
        <v>63848-VS70B</v>
      </c>
      <c r="B6927" t="str">
        <f>"Пистон крепления под"</f>
        <v>Пистон крепления под</v>
      </c>
      <c r="C6927">
        <v>54</v>
      </c>
      <c r="D6927">
        <v>35.495999999999995</v>
      </c>
    </row>
    <row r="6928" spans="1:4">
      <c r="A6928" t="str">
        <f>"63849-JG00A"</f>
        <v>63849-JG00A</v>
      </c>
      <c r="B6928" t="str">
        <f>"Саморез крепления по"</f>
        <v>Саморез крепления по</v>
      </c>
      <c r="C6928">
        <v>7</v>
      </c>
      <c r="D6928">
        <v>43.655999999999999</v>
      </c>
    </row>
    <row r="6929" spans="1:4">
      <c r="A6929" t="str">
        <f>"63850-05N25"</f>
        <v>63850-05N25</v>
      </c>
      <c r="B6929" t="str">
        <f>"Брызговик передний п"</f>
        <v>Брызговик передний п</v>
      </c>
      <c r="C6929">
        <v>1</v>
      </c>
      <c r="D6929">
        <v>1561.8239999999998</v>
      </c>
    </row>
    <row r="6930" spans="1:4">
      <c r="A6930" t="str">
        <f>"63850-BR01A"</f>
        <v>63850-BR01A</v>
      </c>
      <c r="B6930" t="str">
        <f>"Брызговик передний л"</f>
        <v>Брызговик передний л</v>
      </c>
      <c r="C6930">
        <v>1</v>
      </c>
      <c r="D6930">
        <v>1870.68</v>
      </c>
    </row>
    <row r="6931" spans="1:4">
      <c r="A6931" t="str">
        <f>"63850-EB300"</f>
        <v>63850-EB300</v>
      </c>
      <c r="B6931" t="str">
        <f>"MUDGUARD SET-FR"</f>
        <v>MUDGUARD SET-FR</v>
      </c>
      <c r="C6931">
        <v>16</v>
      </c>
      <c r="D6931">
        <v>2133.0239999999999</v>
      </c>
    </row>
    <row r="6932" spans="1:4">
      <c r="A6932" t="str">
        <f>"63850-VD200"</f>
        <v>63850-VD200</v>
      </c>
      <c r="B6932" t="str">
        <f>"MUD GUARD-FRONT"</f>
        <v>MUD GUARD-FRONT</v>
      </c>
      <c r="C6932">
        <v>0</v>
      </c>
      <c r="D6932">
        <v>2795.6159999999995</v>
      </c>
    </row>
    <row r="6933" spans="1:4">
      <c r="A6933" t="str">
        <f>"63851-BR01A"</f>
        <v>63851-BR01A</v>
      </c>
      <c r="B6933" t="str">
        <f>"Брызговик передний л"</f>
        <v>Брызговик передний л</v>
      </c>
      <c r="C6933">
        <v>1</v>
      </c>
      <c r="D6933">
        <v>1870.68</v>
      </c>
    </row>
    <row r="6934" spans="1:4">
      <c r="A6934" t="str">
        <f>"63851-EB300"</f>
        <v>63851-EB300</v>
      </c>
      <c r="B6934" t="str">
        <f>"MUDGUARD SET-FR"</f>
        <v>MUDGUARD SET-FR</v>
      </c>
      <c r="C6934">
        <v>28</v>
      </c>
      <c r="D6934">
        <v>2124.864</v>
      </c>
    </row>
    <row r="6935" spans="1:4">
      <c r="A6935" t="str">
        <f>"63851-VD200"</f>
        <v>63851-VD200</v>
      </c>
      <c r="B6935" t="str">
        <f>"Брызговик передний л"</f>
        <v>Брызговик передний л</v>
      </c>
      <c r="C6935">
        <v>7</v>
      </c>
      <c r="D6935">
        <v>2746.6559999999999</v>
      </c>
    </row>
    <row r="6936" spans="1:4">
      <c r="A6936" t="str">
        <f>"63854-01A00"</f>
        <v>63854-01A00</v>
      </c>
      <c r="B6936" t="str">
        <f>"CLIP-WIRING"</f>
        <v>CLIP-WIRING</v>
      </c>
      <c r="C6936">
        <v>1</v>
      </c>
      <c r="D6936">
        <v>30.599999999999998</v>
      </c>
    </row>
    <row r="6937" spans="1:4">
      <c r="A6937" t="str">
        <f>"63854-1AA0A"</f>
        <v>63854-1AA0A</v>
      </c>
      <c r="B6937" t="str">
        <f>"БРЫЗГОВИК ПЕРЕДН"</f>
        <v>БРЫЗГОВИК ПЕРЕДН</v>
      </c>
      <c r="C6937">
        <v>0</v>
      </c>
      <c r="D6937">
        <v>2927.808</v>
      </c>
    </row>
    <row r="6938" spans="1:4">
      <c r="A6938" t="str">
        <f>"63854-JG000"</f>
        <v>63854-JG000</v>
      </c>
      <c r="B6938" t="str">
        <f>"Брызговик передний п"</f>
        <v>Брызговик передний п</v>
      </c>
      <c r="C6938">
        <v>13</v>
      </c>
      <c r="D6938">
        <v>2654.4479999999999</v>
      </c>
    </row>
    <row r="6939" spans="1:4">
      <c r="A6939" t="str">
        <f>"63855-1AA0A"</f>
        <v>63855-1AA0A</v>
      </c>
      <c r="B6939" t="str">
        <f>"Брызговик передний л"</f>
        <v>Брызговик передний л</v>
      </c>
      <c r="C6939">
        <v>0</v>
      </c>
      <c r="D6939">
        <v>2787.4560000000001</v>
      </c>
    </row>
    <row r="6940" spans="1:4">
      <c r="A6940" t="str">
        <f>"63855-JG000"</f>
        <v>63855-JG000</v>
      </c>
      <c r="B6940" t="str">
        <f>"Брызговик передний л"</f>
        <v>Брызговик передний л</v>
      </c>
      <c r="C6940">
        <v>22</v>
      </c>
      <c r="D6940">
        <v>2689.1280000000002</v>
      </c>
    </row>
    <row r="6941" spans="1:4">
      <c r="A6941" t="str">
        <f>"63860-1BA0A"</f>
        <v>63860-1BA0A</v>
      </c>
      <c r="B6941" t="str">
        <f>"Молдинг арки кры"</f>
        <v>Молдинг арки кры</v>
      </c>
      <c r="C6941">
        <v>6</v>
      </c>
      <c r="D6941">
        <v>3256.6559999999999</v>
      </c>
    </row>
    <row r="6942" spans="1:4">
      <c r="A6942" t="str">
        <f>"63860-1CB0A"</f>
        <v>63860-1CB0A</v>
      </c>
      <c r="B6942" t="str">
        <f>"Молдинг арки кры"</f>
        <v>Молдинг арки кры</v>
      </c>
      <c r="C6942">
        <v>4</v>
      </c>
      <c r="D6942">
        <v>4013.4959999999996</v>
      </c>
    </row>
    <row r="6943" spans="1:4">
      <c r="A6943" t="str">
        <f>"63860-1KA6A"</f>
        <v>63860-1KA6A</v>
      </c>
      <c r="B6943" t="str">
        <f>"FENDER-OVER.FRO"</f>
        <v>FENDER-OVER.FRO</v>
      </c>
      <c r="C6943">
        <v>0</v>
      </c>
      <c r="D6943">
        <v>3083.2559999999999</v>
      </c>
    </row>
    <row r="6944" spans="1:4">
      <c r="A6944" t="str">
        <f>"63860-CG000"</f>
        <v>63860-CG000</v>
      </c>
      <c r="B6944" t="str">
        <f>"MLDG SET-WHEEL"</f>
        <v>MLDG SET-WHEEL</v>
      </c>
      <c r="C6944">
        <v>11</v>
      </c>
      <c r="D6944">
        <v>2675.2559999999999</v>
      </c>
    </row>
    <row r="6945" spans="1:4">
      <c r="A6945" t="str">
        <f>"63861-1BA0A"</f>
        <v>63861-1BA0A</v>
      </c>
      <c r="B6945" t="str">
        <f>"Надкрылок пластиковы"</f>
        <v>Надкрылок пластиковы</v>
      </c>
      <c r="C6945">
        <v>11</v>
      </c>
      <c r="D6945">
        <v>3146.904</v>
      </c>
    </row>
    <row r="6946" spans="1:4">
      <c r="A6946" t="str">
        <f>"63861-1CB0A"</f>
        <v>63861-1CB0A</v>
      </c>
      <c r="B6946" t="str">
        <f>"Накладка колесной ар"</f>
        <v>Накладка колесной ар</v>
      </c>
      <c r="C6946">
        <v>0</v>
      </c>
      <c r="D6946">
        <v>4022.4719999999998</v>
      </c>
    </row>
    <row r="6947" spans="1:4">
      <c r="A6947" t="str">
        <f>"63861-1KA6A"</f>
        <v>63861-1KA6A</v>
      </c>
      <c r="B6947" t="str">
        <f>"Облицовка арки крыла"</f>
        <v>Облицовка арки крыла</v>
      </c>
      <c r="C6947">
        <v>5</v>
      </c>
      <c r="D6947">
        <v>3678.9360000000001</v>
      </c>
    </row>
    <row r="6948" spans="1:4">
      <c r="A6948" t="str">
        <f>"63861-CG000"</f>
        <v>63861-CG000</v>
      </c>
      <c r="B6948" t="str">
        <f>"MLDG SET-WHEEL"</f>
        <v>MLDG SET-WHEEL</v>
      </c>
      <c r="C6948">
        <v>8</v>
      </c>
      <c r="D6948">
        <v>1849.056</v>
      </c>
    </row>
    <row r="6949" spans="1:4">
      <c r="A6949" t="str">
        <f>"63862-0F000"</f>
        <v>63862-0F000</v>
      </c>
      <c r="B6949" t="str">
        <f>"MOULDING-FILLET"</f>
        <v>MOULDING-FILLET</v>
      </c>
      <c r="C6949">
        <v>1</v>
      </c>
      <c r="D6949">
        <v>159.11999999999998</v>
      </c>
    </row>
    <row r="6950" spans="1:4">
      <c r="A6950" t="str">
        <f>"63866-BN800"</f>
        <v>63866-BN800</v>
      </c>
      <c r="B6950" t="str">
        <f>"BRACKET-FENDER"</f>
        <v>BRACKET-FENDER</v>
      </c>
      <c r="C6950">
        <v>10</v>
      </c>
      <c r="D6950">
        <v>405.55199999999996</v>
      </c>
    </row>
    <row r="6951" spans="1:4">
      <c r="A6951" t="str">
        <f>"63870-9U000"</f>
        <v>63870-9U000</v>
      </c>
      <c r="B6951" t="str">
        <f>"Облицовка переднего "</f>
        <v xml:space="preserve">Облицовка переднего </v>
      </c>
      <c r="C6951">
        <v>15</v>
      </c>
      <c r="D6951">
        <v>968.59199999999987</v>
      </c>
    </row>
    <row r="6952" spans="1:4">
      <c r="A6952" t="str">
        <f>"63871-9U000"</f>
        <v>63871-9U000</v>
      </c>
      <c r="B6952" t="str">
        <f>"Облицовка переднего "</f>
        <v xml:space="preserve">Облицовка переднего </v>
      </c>
      <c r="C6952">
        <v>14</v>
      </c>
      <c r="D6952">
        <v>952.27199999999993</v>
      </c>
    </row>
    <row r="6953" spans="1:4">
      <c r="A6953" t="str">
        <f>"63874-85Y03"</f>
        <v>63874-85Y03</v>
      </c>
      <c r="B6953" t="str">
        <f>"Молдинг крыла"</f>
        <v>Молдинг крыла</v>
      </c>
      <c r="C6953">
        <v>1</v>
      </c>
      <c r="D6953">
        <v>559.36799999999994</v>
      </c>
    </row>
    <row r="6954" spans="1:4">
      <c r="A6954" t="str">
        <f>"63880-95F0A"</f>
        <v>63880-95F0A</v>
      </c>
      <c r="B6954" t="str">
        <f>"Подкрылок пластиковы"</f>
        <v>Подкрылок пластиковы</v>
      </c>
      <c r="C6954">
        <v>0</v>
      </c>
      <c r="D6954">
        <v>1612.8239999999998</v>
      </c>
    </row>
    <row r="6955" spans="1:4">
      <c r="A6955" t="str">
        <f>"63880-VB002"</f>
        <v>63880-VB002</v>
      </c>
      <c r="B6955" t="str">
        <f>"RUBBER ASSY-FR"</f>
        <v>RUBBER ASSY-FR</v>
      </c>
      <c r="C6955">
        <v>3</v>
      </c>
      <c r="D6955">
        <v>1186.8719999999998</v>
      </c>
    </row>
    <row r="6956" spans="1:4">
      <c r="A6956" t="str">
        <f>"638A2-9U000"</f>
        <v>638A2-9U000</v>
      </c>
      <c r="B6956" t="str">
        <f>"Кожух переднего крыл"</f>
        <v>Кожух переднего крыл</v>
      </c>
      <c r="C6956">
        <v>2</v>
      </c>
      <c r="D6956">
        <v>733.99199999999996</v>
      </c>
    </row>
    <row r="6957" spans="1:4">
      <c r="A6957" t="str">
        <f>"638A2-EL000"</f>
        <v>638A2-EL000</v>
      </c>
      <c r="B6957" t="str">
        <f>"Кожух переднего крыл"</f>
        <v>Кожух переднего крыл</v>
      </c>
      <c r="C6957">
        <v>1</v>
      </c>
      <c r="D6957">
        <v>506.32799999999997</v>
      </c>
    </row>
    <row r="6958" spans="1:4">
      <c r="A6958" t="str">
        <f>"64111-95F0B"</f>
        <v>64111-95F0B</v>
      </c>
      <c r="B6958" t="str">
        <f>"Панель кузова"</f>
        <v>Панель кузова</v>
      </c>
      <c r="C6958">
        <v>2</v>
      </c>
      <c r="D6958">
        <v>2665.4639999999995</v>
      </c>
    </row>
    <row r="6959" spans="1:4">
      <c r="A6959" t="str">
        <f>"64111-EQ300"</f>
        <v>64111-EQ300</v>
      </c>
      <c r="B6959" t="str">
        <f>"Панель кузова"</f>
        <v>Панель кузова</v>
      </c>
      <c r="C6959">
        <v>1</v>
      </c>
      <c r="D6959">
        <v>3196.2719999999999</v>
      </c>
    </row>
    <row r="6960" spans="1:4">
      <c r="A6960" t="str">
        <f>"64112-EL030"</f>
        <v>64112-EL030</v>
      </c>
      <c r="B6960" t="str">
        <f>"Панель кузова"</f>
        <v>Панель кузова</v>
      </c>
      <c r="C6960">
        <v>3</v>
      </c>
      <c r="D6960">
        <v>710.73599999999999</v>
      </c>
    </row>
    <row r="6961" spans="1:4">
      <c r="A6961" t="str">
        <f>"64118-95F0B"</f>
        <v>64118-95F0B</v>
      </c>
      <c r="B6961" t="str">
        <f>"Панель кузова"</f>
        <v>Панель кузова</v>
      </c>
      <c r="C6961">
        <v>1</v>
      </c>
      <c r="D6961">
        <v>2699.328</v>
      </c>
    </row>
    <row r="6962" spans="1:4">
      <c r="A6962" t="str">
        <f>"64130-8H900"</f>
        <v>64130-8H900</v>
      </c>
      <c r="B6962" t="str">
        <f>"HOODLEDGE-LOWER"</f>
        <v>HOODLEDGE-LOWER</v>
      </c>
      <c r="C6962">
        <v>4</v>
      </c>
      <c r="D6962">
        <v>3764.6159999999995</v>
      </c>
    </row>
    <row r="6963" spans="1:4">
      <c r="A6963" t="str">
        <f>"64131-8H900"</f>
        <v>64131-8H900</v>
      </c>
      <c r="B6963" t="str">
        <f>"HOODLEDGE-LOWER"</f>
        <v>HOODLEDGE-LOWER</v>
      </c>
      <c r="C6963">
        <v>1</v>
      </c>
      <c r="D6963">
        <v>3725.4479999999999</v>
      </c>
    </row>
    <row r="6964" spans="1:4">
      <c r="A6964" t="str">
        <f>"64132-95F0B"</f>
        <v>64132-95F0B</v>
      </c>
      <c r="B6964" t="str">
        <f>"Панель кузова"</f>
        <v>Панель кузова</v>
      </c>
      <c r="C6964">
        <v>2</v>
      </c>
      <c r="D6964">
        <v>3366.8159999999998</v>
      </c>
    </row>
    <row r="6965" spans="1:4">
      <c r="A6965" t="str">
        <f>"64133-95F0B"</f>
        <v>64133-95F0B</v>
      </c>
      <c r="B6965" t="str">
        <f>"Панель кузова"</f>
        <v>Панель кузова</v>
      </c>
      <c r="C6965">
        <v>1</v>
      </c>
      <c r="D6965">
        <v>3326.0159999999996</v>
      </c>
    </row>
    <row r="6966" spans="1:4">
      <c r="A6966" t="str">
        <f>"64180-8H900"</f>
        <v>64180-8H900</v>
      </c>
      <c r="B6966" t="str">
        <f>"REINF-HOOD LEDG"</f>
        <v>REINF-HOOD LEDG</v>
      </c>
      <c r="C6966">
        <v>4</v>
      </c>
      <c r="D6966">
        <v>1597.7280000000001</v>
      </c>
    </row>
    <row r="6967" spans="1:4">
      <c r="A6967" t="str">
        <f>"64180-EL030"</f>
        <v>64180-EL030</v>
      </c>
      <c r="B6967" t="str">
        <f>"Панель кузова"</f>
        <v>Панель кузова</v>
      </c>
      <c r="C6967">
        <v>2</v>
      </c>
      <c r="D6967">
        <v>2459.424</v>
      </c>
    </row>
    <row r="6968" spans="1:4">
      <c r="A6968" t="str">
        <f>"64181-8H900"</f>
        <v>64181-8H900</v>
      </c>
      <c r="B6968" t="str">
        <f>"REINF-HOOD LEDG"</f>
        <v>REINF-HOOD LEDG</v>
      </c>
      <c r="C6968">
        <v>2</v>
      </c>
      <c r="D6968">
        <v>1572.4319999999998</v>
      </c>
    </row>
    <row r="6969" spans="1:4">
      <c r="A6969" t="str">
        <f>"64181-EL030"</f>
        <v>64181-EL030</v>
      </c>
      <c r="B6969" t="str">
        <f>"Панель кузова"</f>
        <v>Панель кузова</v>
      </c>
      <c r="C6969">
        <v>5</v>
      </c>
      <c r="D6969">
        <v>2368.0319999999997</v>
      </c>
    </row>
    <row r="6970" spans="1:4">
      <c r="A6970" t="str">
        <f>"64181-JG00A"</f>
        <v>64181-JG00A</v>
      </c>
      <c r="B6970" t="str">
        <f>"Панель кузова"</f>
        <v>Панель кузова</v>
      </c>
      <c r="C6970">
        <v>0</v>
      </c>
      <c r="D6970">
        <v>3622.6320000000001</v>
      </c>
    </row>
    <row r="6971" spans="1:4">
      <c r="A6971" t="str">
        <f>"64182-4Y900"</f>
        <v>64182-4Y900</v>
      </c>
      <c r="B6971" t="str">
        <f>"REINFORCEMENT"</f>
        <v>REINFORCEMENT</v>
      </c>
      <c r="C6971">
        <v>1</v>
      </c>
      <c r="D6971">
        <v>1224</v>
      </c>
    </row>
    <row r="6972" spans="1:4">
      <c r="A6972" t="str">
        <f>"64182-95F0B"</f>
        <v>64182-95F0B</v>
      </c>
      <c r="B6972" t="str">
        <f>"Панель кузова"</f>
        <v>Панель кузова</v>
      </c>
      <c r="C6972">
        <v>2</v>
      </c>
      <c r="D6972">
        <v>1186.8719999999998</v>
      </c>
    </row>
    <row r="6973" spans="1:4">
      <c r="A6973" t="str">
        <f>"64183-4Y900"</f>
        <v>64183-4Y900</v>
      </c>
      <c r="B6973" t="str">
        <f>"REINFORCEMENT"</f>
        <v>REINFORCEMENT</v>
      </c>
      <c r="C6973">
        <v>2</v>
      </c>
      <c r="D6973">
        <v>1853.5439999999999</v>
      </c>
    </row>
    <row r="6974" spans="1:4">
      <c r="A6974" t="str">
        <f>"64183-95F0B"</f>
        <v>64183-95F0B</v>
      </c>
      <c r="B6974" t="str">
        <f>"Панель кузова"</f>
        <v>Панель кузова</v>
      </c>
      <c r="C6974">
        <v>2</v>
      </c>
      <c r="D6974">
        <v>1206.4559999999999</v>
      </c>
    </row>
    <row r="6975" spans="1:4">
      <c r="A6975" t="str">
        <f>"64191-EL030"</f>
        <v>64191-EL030</v>
      </c>
      <c r="B6975" t="str">
        <f>"Панель кузова"</f>
        <v>Панель кузова</v>
      </c>
      <c r="C6975">
        <v>4</v>
      </c>
      <c r="D6975">
        <v>512.44799999999998</v>
      </c>
    </row>
    <row r="6976" spans="1:4">
      <c r="A6976" t="str">
        <f>"64195-AX630"</f>
        <v>64195-AX630</v>
      </c>
      <c r="B6976" t="str">
        <f>"CONNECTOR-HOODL"</f>
        <v>CONNECTOR-HOODL</v>
      </c>
      <c r="C6976">
        <v>1</v>
      </c>
      <c r="D6976">
        <v>1394.5439999999999</v>
      </c>
    </row>
    <row r="6977" spans="1:4">
      <c r="A6977" t="str">
        <f>"64197-8H900"</f>
        <v>64197-8H900</v>
      </c>
      <c r="B6977" t="str">
        <f>"EXTENSION-HOODL"</f>
        <v>EXTENSION-HOODL</v>
      </c>
      <c r="C6977">
        <v>1</v>
      </c>
      <c r="D6977">
        <v>739.29600000000005</v>
      </c>
    </row>
    <row r="6978" spans="1:4">
      <c r="A6978" t="str">
        <f>"641C0-JG00A"</f>
        <v>641C0-JG00A</v>
      </c>
      <c r="B6978" t="str">
        <f>"Кронштейн крыла"</f>
        <v>Кронштейн крыла</v>
      </c>
      <c r="C6978">
        <v>0</v>
      </c>
      <c r="D6978">
        <v>587.52</v>
      </c>
    </row>
    <row r="6979" spans="1:4">
      <c r="A6979" t="str">
        <f>"641E4-JG00A"</f>
        <v>641E4-JG00A</v>
      </c>
      <c r="B6979" t="str">
        <f>"Кронштейн"</f>
        <v>Кронштейн</v>
      </c>
      <c r="C6979">
        <v>0</v>
      </c>
      <c r="D6979">
        <v>598.53599999999994</v>
      </c>
    </row>
    <row r="6980" spans="1:4">
      <c r="A6980" t="str">
        <f>"64836-VC300"</f>
        <v>64836-VC300</v>
      </c>
      <c r="B6980" t="str">
        <f>"COVER-SPLASH,HO"</f>
        <v>COVER-SPLASH,HO</v>
      </c>
      <c r="C6980">
        <v>0</v>
      </c>
      <c r="D6980">
        <v>1210.5359999999998</v>
      </c>
    </row>
    <row r="6981" spans="1:4">
      <c r="A6981" t="str">
        <f>"64837-VC310"</f>
        <v>64837-VC310</v>
      </c>
      <c r="B6981" t="str">
        <f>"COVER ASSY-ENG"</f>
        <v>COVER ASSY-ENG</v>
      </c>
      <c r="C6981">
        <v>1</v>
      </c>
      <c r="D6981">
        <v>1279.4880000000001</v>
      </c>
    </row>
    <row r="6982" spans="1:4">
      <c r="A6982" t="str">
        <f>"64838-1AA0A"</f>
        <v>64838-1AA0A</v>
      </c>
      <c r="B6982" t="str">
        <f>"Пластиковый кожух мо"</f>
        <v>Пластиковый кожух мо</v>
      </c>
      <c r="C6982">
        <v>12</v>
      </c>
      <c r="D6982">
        <v>1408.4159999999999</v>
      </c>
    </row>
    <row r="6983" spans="1:4">
      <c r="A6983" t="str">
        <f>"64838-40U00"</f>
        <v>64838-40U00</v>
      </c>
      <c r="B6983" t="str">
        <f>"COVER-SPLASH SI"</f>
        <v>COVER-SPLASH SI</v>
      </c>
      <c r="C6983">
        <v>0</v>
      </c>
      <c r="D6983">
        <v>1481.856</v>
      </c>
    </row>
    <row r="6984" spans="1:4">
      <c r="A6984" t="str">
        <f>"64838-CA000"</f>
        <v>64838-CA000</v>
      </c>
      <c r="B6984" t="str">
        <f>"COVER-SPLASH SI"</f>
        <v>COVER-SPLASH SI</v>
      </c>
      <c r="C6984">
        <v>3</v>
      </c>
      <c r="D6984">
        <v>1008.1679999999999</v>
      </c>
    </row>
    <row r="6985" spans="1:4">
      <c r="A6985" t="str">
        <f>"64838-JD00A"</f>
        <v>64838-JD00A</v>
      </c>
      <c r="B6985" t="str">
        <f>"Защта моторного отсе"</f>
        <v>Защта моторного отсе</v>
      </c>
      <c r="C6985">
        <v>3</v>
      </c>
      <c r="D6985">
        <v>1294.992</v>
      </c>
    </row>
    <row r="6986" spans="1:4">
      <c r="A6986" t="str">
        <f>"64838-JG00A"</f>
        <v>64838-JG00A</v>
      </c>
      <c r="B6986" t="str">
        <f>"Кожух моторного отсе"</f>
        <v>Кожух моторного отсе</v>
      </c>
      <c r="C6986">
        <v>2</v>
      </c>
      <c r="D6986">
        <v>1378.6319999999998</v>
      </c>
    </row>
    <row r="6987" spans="1:4">
      <c r="A6987" t="str">
        <f>"64839-1AA0A"</f>
        <v>64839-1AA0A</v>
      </c>
      <c r="B6987" t="str">
        <f>"Защита моторного отс"</f>
        <v>Защита моторного отс</v>
      </c>
      <c r="C6987">
        <v>5</v>
      </c>
      <c r="D6987">
        <v>1388.424</v>
      </c>
    </row>
    <row r="6988" spans="1:4">
      <c r="A6988" t="str">
        <f>"64839-40U00"</f>
        <v>64839-40U00</v>
      </c>
      <c r="B6988" t="str">
        <f>"COVER-SPLASH SI"</f>
        <v>COVER-SPLASH SI</v>
      </c>
      <c r="C6988">
        <v>2</v>
      </c>
      <c r="D6988">
        <v>1404.336</v>
      </c>
    </row>
    <row r="6989" spans="1:4">
      <c r="A6989" t="str">
        <f>"64839-CA000"</f>
        <v>64839-CA000</v>
      </c>
      <c r="B6989" t="str">
        <f>"COVER SPLASH"</f>
        <v>COVER SPLASH</v>
      </c>
      <c r="C6989">
        <v>1</v>
      </c>
      <c r="D6989">
        <v>1400.2560000000001</v>
      </c>
    </row>
    <row r="6990" spans="1:4">
      <c r="A6990" t="str">
        <f>"64839-JD00A"</f>
        <v>64839-JD00A</v>
      </c>
      <c r="B6990" t="str">
        <f>"Панель кузовная"</f>
        <v>Панель кузовная</v>
      </c>
      <c r="C6990">
        <v>0</v>
      </c>
      <c r="D6990">
        <v>1291.7280000000001</v>
      </c>
    </row>
    <row r="6991" spans="1:4">
      <c r="A6991" t="str">
        <f>"64839-JG00A"</f>
        <v>64839-JG00A</v>
      </c>
      <c r="B6991" t="str">
        <f>"Кожух моторного отсе"</f>
        <v>Кожух моторного отсе</v>
      </c>
      <c r="C6991">
        <v>1</v>
      </c>
      <c r="D6991">
        <v>1414.1279999999999</v>
      </c>
    </row>
    <row r="6992" spans="1:4">
      <c r="A6992" t="str">
        <f>"64860-4U000"</f>
        <v>64860-4U000</v>
      </c>
      <c r="B6992" t="str">
        <f>"BRKT ASSY-BAT M"</f>
        <v>BRKT ASSY-BAT M</v>
      </c>
      <c r="C6992">
        <v>2</v>
      </c>
      <c r="D6992">
        <v>1593.6479999999999</v>
      </c>
    </row>
    <row r="6993" spans="1:4">
      <c r="A6993" t="str">
        <f>"64866-5M300"</f>
        <v>64866-5M300</v>
      </c>
      <c r="B6993" t="str">
        <f>"BRACKET-BATTERY"</f>
        <v>BRACKET-BATTERY</v>
      </c>
      <c r="C6993">
        <v>0</v>
      </c>
      <c r="D6993">
        <v>100.776</v>
      </c>
    </row>
    <row r="6994" spans="1:4">
      <c r="A6994" t="str">
        <f>"64880-4M420"</f>
        <v>64880-4M420</v>
      </c>
      <c r="B6994" t="str">
        <f>"BRACKET"</f>
        <v>BRACKET</v>
      </c>
      <c r="C6994">
        <v>2</v>
      </c>
      <c r="D6994">
        <v>660.14400000000001</v>
      </c>
    </row>
    <row r="6995" spans="1:4">
      <c r="A6995" t="str">
        <f>"65100-95F0C"</f>
        <v>65100-95F0C</v>
      </c>
      <c r="B6995" t="str">
        <f>"Капот"</f>
        <v>Капот</v>
      </c>
      <c r="C6995">
        <v>1</v>
      </c>
      <c r="D6995">
        <v>11109.432000000001</v>
      </c>
    </row>
    <row r="6996" spans="1:4">
      <c r="A6996" t="str">
        <f>"65100-AV630"</f>
        <v>65100-AV630</v>
      </c>
      <c r="B6996" t="str">
        <f>"HOOD"</f>
        <v>HOOD</v>
      </c>
      <c r="C6996">
        <v>2</v>
      </c>
      <c r="D6996">
        <v>9807.503999999999</v>
      </c>
    </row>
    <row r="6997" spans="1:4">
      <c r="A6997" t="str">
        <f>"65100-BN730"</f>
        <v>65100-BN730</v>
      </c>
      <c r="B6997" t="str">
        <f>"HOOD"</f>
        <v>HOOD</v>
      </c>
      <c r="C6997">
        <v>2</v>
      </c>
      <c r="D6997">
        <v>9807.503999999999</v>
      </c>
    </row>
    <row r="6998" spans="1:4">
      <c r="A6998" t="str">
        <f>"65100-EL030"</f>
        <v>65100-EL030</v>
      </c>
      <c r="B6998" t="str">
        <f>"Капот"</f>
        <v>Капот</v>
      </c>
      <c r="C6998">
        <v>0</v>
      </c>
      <c r="D6998">
        <v>10862.591999999999</v>
      </c>
    </row>
    <row r="6999" spans="1:4">
      <c r="A6999" t="str">
        <f>"65278-1CA0A"</f>
        <v>65278-1CA0A</v>
      </c>
      <c r="B6999" t="str">
        <f>"Кожух аккумулято"</f>
        <v>Кожух аккумулято</v>
      </c>
      <c r="C6999">
        <v>0</v>
      </c>
      <c r="D6999">
        <v>433.70400000000001</v>
      </c>
    </row>
    <row r="7000" spans="1:4">
      <c r="A7000" t="str">
        <f>"65278-CG000"</f>
        <v>65278-CG000</v>
      </c>
      <c r="B7000" t="str">
        <f>"COVER-BAT CONN"</f>
        <v>COVER-BAT CONN</v>
      </c>
      <c r="C7000">
        <v>0</v>
      </c>
      <c r="D7000">
        <v>351.69599999999997</v>
      </c>
    </row>
    <row r="7001" spans="1:4">
      <c r="A7001" t="str">
        <f>"65282-1CA0A"</f>
        <v>65282-1CA0A</v>
      </c>
      <c r="B7001" t="str">
        <f>"Облицовка капота"</f>
        <v>Облицовка капота</v>
      </c>
      <c r="C7001">
        <v>3</v>
      </c>
      <c r="D7001">
        <v>329.66400000000004</v>
      </c>
    </row>
    <row r="7002" spans="1:4">
      <c r="A7002" t="str">
        <f>"65283-1CA0A"</f>
        <v>65283-1CA0A</v>
      </c>
      <c r="B7002" t="str">
        <f>"Облицовка капота"</f>
        <v>Облицовка капота</v>
      </c>
      <c r="C7002">
        <v>2</v>
      </c>
      <c r="D7002">
        <v>310.89599999999996</v>
      </c>
    </row>
    <row r="7003" spans="1:4">
      <c r="A7003" t="str">
        <f>"65400-1AA9A"</f>
        <v>65400-1AA9A</v>
      </c>
      <c r="B7003" t="str">
        <f t="shared" ref="B7003:B7011" si="133">"Петля капота"</f>
        <v>Петля капота</v>
      </c>
      <c r="C7003">
        <v>2</v>
      </c>
      <c r="D7003">
        <v>1190.136</v>
      </c>
    </row>
    <row r="7004" spans="1:4">
      <c r="A7004" t="str">
        <f>"65400-1CA0A"</f>
        <v>65400-1CA0A</v>
      </c>
      <c r="B7004" t="str">
        <f t="shared" si="133"/>
        <v>Петля капота</v>
      </c>
      <c r="C7004">
        <v>5</v>
      </c>
      <c r="D7004">
        <v>1377.816</v>
      </c>
    </row>
    <row r="7005" spans="1:4">
      <c r="A7005" t="str">
        <f>"65400-1KA0A"</f>
        <v>65400-1KA0A</v>
      </c>
      <c r="B7005" t="str">
        <f t="shared" si="133"/>
        <v>Петля капота</v>
      </c>
      <c r="C7005">
        <v>0</v>
      </c>
      <c r="D7005">
        <v>955.53599999999994</v>
      </c>
    </row>
    <row r="7006" spans="1:4">
      <c r="A7006" t="str">
        <f>"65400-1LA0A"</f>
        <v>65400-1LA0A</v>
      </c>
      <c r="B7006" t="str">
        <f t="shared" si="133"/>
        <v>Петля капота</v>
      </c>
      <c r="C7006">
        <v>1</v>
      </c>
      <c r="D7006">
        <v>1443.0959999999998</v>
      </c>
    </row>
    <row r="7007" spans="1:4">
      <c r="A7007" t="str">
        <f>"65400-1U600"</f>
        <v>65400-1U600</v>
      </c>
      <c r="B7007" t="str">
        <f t="shared" si="133"/>
        <v>Петля капота</v>
      </c>
      <c r="C7007">
        <v>26</v>
      </c>
      <c r="D7007">
        <v>673.19999999999993</v>
      </c>
    </row>
    <row r="7008" spans="1:4">
      <c r="A7008" t="str">
        <f>"65400-2Y00A"</f>
        <v>65400-2Y00A</v>
      </c>
      <c r="B7008" t="str">
        <f t="shared" si="133"/>
        <v>Петля капота</v>
      </c>
      <c r="C7008">
        <v>2</v>
      </c>
      <c r="D7008">
        <v>627.50399999999991</v>
      </c>
    </row>
    <row r="7009" spans="1:4">
      <c r="A7009" t="str">
        <f>"65400-8H30A"</f>
        <v>65400-8H30A</v>
      </c>
      <c r="B7009" t="str">
        <f t="shared" si="133"/>
        <v>Петля капота</v>
      </c>
      <c r="C7009">
        <v>0</v>
      </c>
      <c r="D7009">
        <v>1000.824</v>
      </c>
    </row>
    <row r="7010" spans="1:4">
      <c r="A7010" t="str">
        <f>"65400-95F0A"</f>
        <v>65400-95F0A</v>
      </c>
      <c r="B7010" t="str">
        <f t="shared" si="133"/>
        <v>Петля капота</v>
      </c>
      <c r="C7010">
        <v>4</v>
      </c>
      <c r="D7010">
        <v>679.32</v>
      </c>
    </row>
    <row r="7011" spans="1:4">
      <c r="A7011" t="str">
        <f>"65400-9Y000"</f>
        <v>65400-9Y000</v>
      </c>
      <c r="B7011" t="str">
        <f t="shared" si="133"/>
        <v>Петля капота</v>
      </c>
      <c r="C7011">
        <v>1</v>
      </c>
      <c r="D7011">
        <v>574.46400000000006</v>
      </c>
    </row>
    <row r="7012" spans="1:4">
      <c r="A7012" t="str">
        <f>"65400-AV630"</f>
        <v>65400-AV630</v>
      </c>
      <c r="B7012" t="str">
        <f>"HINGE ASSY-HOOD"</f>
        <v>HINGE ASSY-HOOD</v>
      </c>
      <c r="C7012">
        <v>2</v>
      </c>
      <c r="D7012">
        <v>1570.8</v>
      </c>
    </row>
    <row r="7013" spans="1:4">
      <c r="A7013" t="str">
        <f>"65400-AX630"</f>
        <v>65400-AX630</v>
      </c>
      <c r="B7013" t="str">
        <f>"HINGE ASSY-HOOD"</f>
        <v>HINGE ASSY-HOOD</v>
      </c>
      <c r="C7013">
        <v>9</v>
      </c>
      <c r="D7013">
        <v>1515.7199999999998</v>
      </c>
    </row>
    <row r="7014" spans="1:4">
      <c r="A7014" t="str">
        <f>"65400-BM430"</f>
        <v>65400-BM430</v>
      </c>
      <c r="B7014" t="str">
        <f>"HINGE ASSY-HOOD"</f>
        <v>HINGE ASSY-HOOD</v>
      </c>
      <c r="C7014">
        <v>3</v>
      </c>
      <c r="D7014">
        <v>1532.4479999999999</v>
      </c>
    </row>
    <row r="7015" spans="1:4">
      <c r="A7015" t="str">
        <f>"65400-CA00A"</f>
        <v>65400-CA00A</v>
      </c>
      <c r="B7015" t="str">
        <f t="shared" ref="B7015:B7033" si="134">"Петля капота"</f>
        <v>Петля капота</v>
      </c>
      <c r="C7015">
        <v>0</v>
      </c>
      <c r="D7015">
        <v>1041.624</v>
      </c>
    </row>
    <row r="7016" spans="1:4">
      <c r="A7016" t="str">
        <f>"65400-CG00A"</f>
        <v>65400-CG00A</v>
      </c>
      <c r="B7016" t="str">
        <f t="shared" si="134"/>
        <v>Петля капота</v>
      </c>
      <c r="C7016">
        <v>8</v>
      </c>
      <c r="D7016">
        <v>1328.04</v>
      </c>
    </row>
    <row r="7017" spans="1:4">
      <c r="A7017" t="str">
        <f>"65400-ED00A"</f>
        <v>65400-ED00A</v>
      </c>
      <c r="B7017" t="str">
        <f t="shared" si="134"/>
        <v>Петля капота</v>
      </c>
      <c r="C7017">
        <v>4</v>
      </c>
      <c r="D7017">
        <v>571.19999999999993</v>
      </c>
    </row>
    <row r="7018" spans="1:4">
      <c r="A7018" t="str">
        <f>"65400-EJ70A"</f>
        <v>65400-EJ70A</v>
      </c>
      <c r="B7018" t="str">
        <f t="shared" si="134"/>
        <v>Петля капота</v>
      </c>
      <c r="C7018">
        <v>9</v>
      </c>
      <c r="D7018">
        <v>1229.3040000000001</v>
      </c>
    </row>
    <row r="7019" spans="1:4">
      <c r="A7019" t="str">
        <f>"65400-JD000"</f>
        <v>65400-JD000</v>
      </c>
      <c r="B7019" t="str">
        <f t="shared" si="134"/>
        <v>Петля капота</v>
      </c>
      <c r="C7019">
        <v>2</v>
      </c>
      <c r="D7019">
        <v>1847.0160000000001</v>
      </c>
    </row>
    <row r="7020" spans="1:4">
      <c r="A7020" t="str">
        <f>"65400-JG000"</f>
        <v>65400-JG000</v>
      </c>
      <c r="B7020" t="str">
        <f t="shared" si="134"/>
        <v>Петля капота</v>
      </c>
      <c r="C7020">
        <v>12</v>
      </c>
      <c r="D7020">
        <v>1033.056</v>
      </c>
    </row>
    <row r="7021" spans="1:4">
      <c r="A7021" t="str">
        <f>"65400-JK00A"</f>
        <v>65400-JK00A</v>
      </c>
      <c r="B7021" t="str">
        <f t="shared" si="134"/>
        <v>Петля капота</v>
      </c>
      <c r="C7021">
        <v>6</v>
      </c>
      <c r="D7021">
        <v>1063.2479999999998</v>
      </c>
    </row>
    <row r="7022" spans="1:4">
      <c r="A7022" t="str">
        <f>"65400-JN00A"</f>
        <v>65400-JN00A</v>
      </c>
      <c r="B7022" t="str">
        <f t="shared" si="134"/>
        <v>Петля капота</v>
      </c>
      <c r="C7022">
        <v>19</v>
      </c>
      <c r="D7022">
        <v>1053.4559999999999</v>
      </c>
    </row>
    <row r="7023" spans="1:4">
      <c r="A7023" t="str">
        <f>"65400-VD20A"</f>
        <v>65400-VD20A</v>
      </c>
      <c r="B7023" t="str">
        <f t="shared" si="134"/>
        <v>Петля капота</v>
      </c>
      <c r="C7023">
        <v>5</v>
      </c>
      <c r="D7023">
        <v>1177.4880000000001</v>
      </c>
    </row>
    <row r="7024" spans="1:4">
      <c r="A7024" t="str">
        <f>"65400-ZP00A"</f>
        <v>65400-ZP00A</v>
      </c>
      <c r="B7024" t="str">
        <f t="shared" si="134"/>
        <v>Петля капота</v>
      </c>
      <c r="C7024">
        <v>10</v>
      </c>
      <c r="D7024">
        <v>632.4</v>
      </c>
    </row>
    <row r="7025" spans="1:4">
      <c r="A7025" t="str">
        <f>"65401-1AA9A"</f>
        <v>65401-1AA9A</v>
      </c>
      <c r="B7025" t="str">
        <f t="shared" si="134"/>
        <v>Петля капота</v>
      </c>
      <c r="C7025">
        <v>2</v>
      </c>
      <c r="D7025">
        <v>1157.904</v>
      </c>
    </row>
    <row r="7026" spans="1:4">
      <c r="A7026" t="str">
        <f>"65401-1CA0A"</f>
        <v>65401-1CA0A</v>
      </c>
      <c r="B7026" t="str">
        <f t="shared" si="134"/>
        <v>Петля капота</v>
      </c>
      <c r="C7026">
        <v>3</v>
      </c>
      <c r="D7026">
        <v>1375.3680000000002</v>
      </c>
    </row>
    <row r="7027" spans="1:4">
      <c r="A7027" t="str">
        <f>"65401-1KA0A"</f>
        <v>65401-1KA0A</v>
      </c>
      <c r="B7027" t="str">
        <f t="shared" si="134"/>
        <v>Петля капота</v>
      </c>
      <c r="C7027">
        <v>0</v>
      </c>
      <c r="D7027">
        <v>950.64</v>
      </c>
    </row>
    <row r="7028" spans="1:4">
      <c r="A7028" t="str">
        <f>"65401-1LA0A"</f>
        <v>65401-1LA0A</v>
      </c>
      <c r="B7028" t="str">
        <f t="shared" si="134"/>
        <v>Петля капота</v>
      </c>
      <c r="C7028">
        <v>1</v>
      </c>
      <c r="D7028">
        <v>1437.7920000000001</v>
      </c>
    </row>
    <row r="7029" spans="1:4">
      <c r="A7029" t="str">
        <f>"65401-1U600"</f>
        <v>65401-1U600</v>
      </c>
      <c r="B7029" t="str">
        <f t="shared" si="134"/>
        <v>Петля капота</v>
      </c>
      <c r="C7029">
        <v>21</v>
      </c>
      <c r="D7029">
        <v>722.16</v>
      </c>
    </row>
    <row r="7030" spans="1:4">
      <c r="A7030" t="str">
        <f>"65401-2Y00A"</f>
        <v>65401-2Y00A</v>
      </c>
      <c r="B7030" t="str">
        <f t="shared" si="134"/>
        <v>Петля капота</v>
      </c>
      <c r="C7030">
        <v>0</v>
      </c>
      <c r="D7030">
        <v>625.46400000000006</v>
      </c>
    </row>
    <row r="7031" spans="1:4">
      <c r="A7031" t="str">
        <f>"65401-8H30A"</f>
        <v>65401-8H30A</v>
      </c>
      <c r="B7031" t="str">
        <f t="shared" si="134"/>
        <v>Петля капота</v>
      </c>
      <c r="C7031">
        <v>3</v>
      </c>
      <c r="D7031">
        <v>1054.2719999999999</v>
      </c>
    </row>
    <row r="7032" spans="1:4">
      <c r="A7032" t="str">
        <f>"65401-95F0A"</f>
        <v>65401-95F0A</v>
      </c>
      <c r="B7032" t="str">
        <f t="shared" si="134"/>
        <v>Петля капота</v>
      </c>
      <c r="C7032">
        <v>5</v>
      </c>
      <c r="D7032">
        <v>680.13599999999997</v>
      </c>
    </row>
    <row r="7033" spans="1:4">
      <c r="A7033" t="str">
        <f>"65401-9Y000"</f>
        <v>65401-9Y000</v>
      </c>
      <c r="B7033" t="str">
        <f t="shared" si="134"/>
        <v>Петля капота</v>
      </c>
      <c r="C7033">
        <v>0</v>
      </c>
      <c r="D7033">
        <v>574.87199999999996</v>
      </c>
    </row>
    <row r="7034" spans="1:4">
      <c r="A7034" t="str">
        <f>"65401-AV630"</f>
        <v>65401-AV630</v>
      </c>
      <c r="B7034" t="str">
        <f>"HINGE ASSY-HOOD"</f>
        <v>HINGE ASSY-HOOD</v>
      </c>
      <c r="C7034">
        <v>0</v>
      </c>
      <c r="D7034">
        <v>1561.8239999999998</v>
      </c>
    </row>
    <row r="7035" spans="1:4">
      <c r="A7035" t="str">
        <f>"65401-AX630"</f>
        <v>65401-AX630</v>
      </c>
      <c r="B7035" t="str">
        <f>"HINGE ASSY-HOOD"</f>
        <v>HINGE ASSY-HOOD</v>
      </c>
      <c r="C7035">
        <v>9</v>
      </c>
      <c r="D7035">
        <v>1587.12</v>
      </c>
    </row>
    <row r="7036" spans="1:4">
      <c r="A7036" t="str">
        <f>"65401-BM430"</f>
        <v>65401-BM430</v>
      </c>
      <c r="B7036" t="str">
        <f>"HINGE ASSY-HOOD"</f>
        <v>HINGE ASSY-HOOD</v>
      </c>
      <c r="C7036">
        <v>1</v>
      </c>
      <c r="D7036">
        <v>1539.3839999999998</v>
      </c>
    </row>
    <row r="7037" spans="1:4">
      <c r="A7037" t="str">
        <f>"65401-CA00A"</f>
        <v>65401-CA00A</v>
      </c>
      <c r="B7037" t="str">
        <f t="shared" ref="B7037:B7047" si="135">"Петля капота"</f>
        <v>Петля капота</v>
      </c>
      <c r="C7037">
        <v>4</v>
      </c>
      <c r="D7037">
        <v>1084.056</v>
      </c>
    </row>
    <row r="7038" spans="1:4">
      <c r="A7038" t="str">
        <f>"65401-CG00A"</f>
        <v>65401-CG00A</v>
      </c>
      <c r="B7038" t="str">
        <f t="shared" si="135"/>
        <v>Петля капота</v>
      </c>
      <c r="C7038">
        <v>2</v>
      </c>
      <c r="D7038">
        <v>1103.6400000000001</v>
      </c>
    </row>
    <row r="7039" spans="1:4">
      <c r="A7039" t="str">
        <f>"65401-ED00A"</f>
        <v>65401-ED00A</v>
      </c>
      <c r="B7039" t="str">
        <f t="shared" si="135"/>
        <v>Петля капота</v>
      </c>
      <c r="C7039">
        <v>3</v>
      </c>
      <c r="D7039">
        <v>572.01599999999996</v>
      </c>
    </row>
    <row r="7040" spans="1:4">
      <c r="A7040" t="str">
        <f>"65401-EG000"</f>
        <v>65401-EG000</v>
      </c>
      <c r="B7040" t="str">
        <f t="shared" si="135"/>
        <v>Петля капота</v>
      </c>
      <c r="C7040">
        <v>1</v>
      </c>
      <c r="D7040">
        <v>1259.088</v>
      </c>
    </row>
    <row r="7041" spans="1:4">
      <c r="A7041" t="str">
        <f>"65401-EJ70A"</f>
        <v>65401-EJ70A</v>
      </c>
      <c r="B7041" t="str">
        <f t="shared" si="135"/>
        <v>Петля капота</v>
      </c>
      <c r="C7041">
        <v>6</v>
      </c>
      <c r="D7041">
        <v>1259.088</v>
      </c>
    </row>
    <row r="7042" spans="1:4">
      <c r="A7042" t="str">
        <f>"65401-JD000"</f>
        <v>65401-JD000</v>
      </c>
      <c r="B7042" t="str">
        <f t="shared" si="135"/>
        <v>Петля капота</v>
      </c>
      <c r="C7042">
        <v>32</v>
      </c>
      <c r="D7042">
        <v>1332.12</v>
      </c>
    </row>
    <row r="7043" spans="1:4">
      <c r="A7043" t="str">
        <f>"65401-JG000"</f>
        <v>65401-JG000</v>
      </c>
      <c r="B7043" t="str">
        <f t="shared" si="135"/>
        <v>Петля капота</v>
      </c>
      <c r="C7043">
        <v>21</v>
      </c>
      <c r="D7043">
        <v>1006.5359999999999</v>
      </c>
    </row>
    <row r="7044" spans="1:4">
      <c r="A7044" t="str">
        <f>"65401-JK00A"</f>
        <v>65401-JK00A</v>
      </c>
      <c r="B7044" t="str">
        <f t="shared" si="135"/>
        <v>Петля капота</v>
      </c>
      <c r="C7044">
        <v>5</v>
      </c>
      <c r="D7044">
        <v>1043.664</v>
      </c>
    </row>
    <row r="7045" spans="1:4">
      <c r="A7045" t="str">
        <f>"65401-JN00A"</f>
        <v>65401-JN00A</v>
      </c>
      <c r="B7045" t="str">
        <f t="shared" si="135"/>
        <v>Петля капота</v>
      </c>
      <c r="C7045">
        <v>3</v>
      </c>
      <c r="D7045">
        <v>1102.8239999999998</v>
      </c>
    </row>
    <row r="7046" spans="1:4">
      <c r="A7046" t="str">
        <f>"65401-VD20A"</f>
        <v>65401-VD20A</v>
      </c>
      <c r="B7046" t="str">
        <f t="shared" si="135"/>
        <v>Петля капота</v>
      </c>
      <c r="C7046">
        <v>7</v>
      </c>
      <c r="D7046">
        <v>1181.9759999999999</v>
      </c>
    </row>
    <row r="7047" spans="1:4">
      <c r="A7047" t="str">
        <f>"65401-ZP00A"</f>
        <v>65401-ZP00A</v>
      </c>
      <c r="B7047" t="str">
        <f t="shared" si="135"/>
        <v>Петля капота</v>
      </c>
      <c r="C7047">
        <v>8</v>
      </c>
      <c r="D7047">
        <v>649.12800000000004</v>
      </c>
    </row>
    <row r="7048" spans="1:4">
      <c r="A7048" t="str">
        <f>"65450-JN20A"</f>
        <v>65450-JN20A</v>
      </c>
      <c r="B7048" t="str">
        <f>"Облицовка петли капо"</f>
        <v>Облицовка петли капо</v>
      </c>
      <c r="C7048">
        <v>7</v>
      </c>
      <c r="D7048">
        <v>295.392</v>
      </c>
    </row>
    <row r="7049" spans="1:4">
      <c r="A7049" t="str">
        <f>"65451-JN20A"</f>
        <v>65451-JN20A</v>
      </c>
      <c r="B7049" t="str">
        <f>"Облицовка петли капо"</f>
        <v>Облицовка петли капо</v>
      </c>
      <c r="C7049">
        <v>4</v>
      </c>
      <c r="D7049">
        <v>270.096</v>
      </c>
    </row>
    <row r="7050" spans="1:4">
      <c r="A7050" t="str">
        <f>"65470-1CA0A"</f>
        <v>65470-1CA0A</v>
      </c>
      <c r="B7050" t="str">
        <f>"Стойка капота"</f>
        <v>Стойка капота</v>
      </c>
      <c r="C7050">
        <v>2</v>
      </c>
      <c r="D7050">
        <v>2702.1840000000002</v>
      </c>
    </row>
    <row r="7051" spans="1:4">
      <c r="A7051" t="str">
        <f>"65470-2Y010"</f>
        <v>65470-2Y010</v>
      </c>
      <c r="B7051" t="str">
        <f>"STAY ASSY-HOOD"</f>
        <v>STAY ASSY-HOOD</v>
      </c>
      <c r="C7051">
        <v>3</v>
      </c>
      <c r="D7051">
        <v>2740.944</v>
      </c>
    </row>
    <row r="7052" spans="1:4">
      <c r="A7052" t="str">
        <f>"65470-51U10"</f>
        <v>65470-51U10</v>
      </c>
      <c r="B7052" t="str">
        <f>"STAY ASSY-HOOD"</f>
        <v>STAY ASSY-HOOD</v>
      </c>
      <c r="C7052">
        <v>2</v>
      </c>
      <c r="D7052">
        <v>2765.8319999999999</v>
      </c>
    </row>
    <row r="7053" spans="1:4">
      <c r="A7053" t="str">
        <f>"65470-7S600"</f>
        <v>65470-7S600</v>
      </c>
      <c r="B7053" t="str">
        <f t="shared" ref="B7053:B7058" si="136">"Стойка капота"</f>
        <v>Стойка капота</v>
      </c>
      <c r="C7053">
        <v>3</v>
      </c>
      <c r="D7053">
        <v>643.41599999999994</v>
      </c>
    </row>
    <row r="7054" spans="1:4">
      <c r="A7054" t="str">
        <f>"65470-9Y000"</f>
        <v>65470-9Y000</v>
      </c>
      <c r="B7054" t="str">
        <f t="shared" si="136"/>
        <v>Стойка капота</v>
      </c>
      <c r="C7054">
        <v>7</v>
      </c>
      <c r="D7054">
        <v>2807.4479999999999</v>
      </c>
    </row>
    <row r="7055" spans="1:4">
      <c r="A7055" t="str">
        <f>"65470-CB800"</f>
        <v>65470-CB800</v>
      </c>
      <c r="B7055" t="str">
        <f t="shared" si="136"/>
        <v>Стойка капота</v>
      </c>
      <c r="C7055">
        <v>0</v>
      </c>
      <c r="D7055">
        <v>2854.7759999999998</v>
      </c>
    </row>
    <row r="7056" spans="1:4">
      <c r="A7056" t="str">
        <f>"65470-CG80A"</f>
        <v>65470-CG80A</v>
      </c>
      <c r="B7056" t="str">
        <f t="shared" si="136"/>
        <v>Стойка капота</v>
      </c>
      <c r="C7056">
        <v>6</v>
      </c>
      <c r="D7056">
        <v>2729.52</v>
      </c>
    </row>
    <row r="7057" spans="1:4">
      <c r="A7057" t="str">
        <f>"65471-7S600"</f>
        <v>65471-7S600</v>
      </c>
      <c r="B7057" t="str">
        <f t="shared" si="136"/>
        <v>Стойка капота</v>
      </c>
      <c r="C7057">
        <v>3</v>
      </c>
      <c r="D7057">
        <v>634.84799999999996</v>
      </c>
    </row>
    <row r="7058" spans="1:4">
      <c r="A7058" t="str">
        <f>"65471-9Y000"</f>
        <v>65471-9Y000</v>
      </c>
      <c r="B7058" t="str">
        <f t="shared" si="136"/>
        <v>Стойка капота</v>
      </c>
      <c r="C7058">
        <v>8</v>
      </c>
      <c r="D7058">
        <v>2901.6959999999999</v>
      </c>
    </row>
    <row r="7059" spans="1:4">
      <c r="A7059" t="str">
        <f>"65471-CB800"</f>
        <v>65471-CB800</v>
      </c>
      <c r="B7059" t="str">
        <f>"STAY ASSY-HOOD"</f>
        <v>STAY ASSY-HOOD</v>
      </c>
      <c r="C7059">
        <v>0</v>
      </c>
      <c r="D7059">
        <v>2860.8959999999997</v>
      </c>
    </row>
    <row r="7060" spans="1:4">
      <c r="A7060" t="str">
        <f>"65471-CG80A"</f>
        <v>65471-CG80A</v>
      </c>
      <c r="B7060" t="str">
        <f>"Стойка капота"</f>
        <v>Стойка капота</v>
      </c>
      <c r="C7060">
        <v>10</v>
      </c>
      <c r="D7060">
        <v>2720.5439999999999</v>
      </c>
    </row>
    <row r="7061" spans="1:4">
      <c r="A7061" t="str">
        <f>"65512-R3000"</f>
        <v>65512-R3000</v>
      </c>
      <c r="B7061" t="str">
        <f>"GROM HOOD ROD"</f>
        <v>GROM HOOD ROD</v>
      </c>
      <c r="C7061">
        <v>13</v>
      </c>
      <c r="D7061">
        <v>57.527999999999999</v>
      </c>
    </row>
    <row r="7062" spans="1:4">
      <c r="A7062" t="str">
        <f>"65601-1BA0A"</f>
        <v>65601-1BA0A</v>
      </c>
      <c r="B7062" t="str">
        <f>"Замок капота"</f>
        <v>Замок капота</v>
      </c>
      <c r="C7062">
        <v>2</v>
      </c>
      <c r="D7062">
        <v>1243.5839999999998</v>
      </c>
    </row>
    <row r="7063" spans="1:4">
      <c r="A7063" t="str">
        <f>"65601-1BA0B"</f>
        <v>65601-1BA0B</v>
      </c>
      <c r="B7063" t="str">
        <f>"Замок капота"</f>
        <v>Замок капота</v>
      </c>
      <c r="C7063">
        <v>2</v>
      </c>
      <c r="D7063">
        <v>1294.1759999999999</v>
      </c>
    </row>
    <row r="7064" spans="1:4">
      <c r="A7064" t="str">
        <f>"65601-1KA0A"</f>
        <v>65601-1KA0A</v>
      </c>
      <c r="B7064" t="str">
        <f>"Замок капота"</f>
        <v>Замок капота</v>
      </c>
      <c r="C7064">
        <v>0</v>
      </c>
      <c r="D7064">
        <v>2077.5360000000001</v>
      </c>
    </row>
    <row r="7065" spans="1:4">
      <c r="A7065" t="str">
        <f>"65601-2M005"</f>
        <v>65601-2M005</v>
      </c>
      <c r="B7065" t="str">
        <f>"MALE ASSY-HOOD"</f>
        <v>MALE ASSY-HOOD</v>
      </c>
      <c r="C7065">
        <v>1</v>
      </c>
      <c r="D7065">
        <v>1158.72</v>
      </c>
    </row>
    <row r="7066" spans="1:4">
      <c r="A7066" t="str">
        <f>"65601-5M40A"</f>
        <v>65601-5M40A</v>
      </c>
      <c r="B7066" t="str">
        <f>"Замок капота"</f>
        <v>Замок капота</v>
      </c>
      <c r="C7066">
        <v>0</v>
      </c>
      <c r="D7066">
        <v>1308.864</v>
      </c>
    </row>
    <row r="7067" spans="1:4">
      <c r="A7067" t="str">
        <f>"65601-8H90A"</f>
        <v>65601-8H90A</v>
      </c>
      <c r="B7067" t="str">
        <f>"Замок капота"</f>
        <v>Замок капота</v>
      </c>
      <c r="C7067">
        <v>1</v>
      </c>
      <c r="D7067">
        <v>1286.0160000000001</v>
      </c>
    </row>
    <row r="7068" spans="1:4">
      <c r="A7068" t="str">
        <f>"65601-95F0A"</f>
        <v>65601-95F0A</v>
      </c>
      <c r="B7068" t="str">
        <f>"Замок капота"</f>
        <v>Замок капота</v>
      </c>
      <c r="C7068">
        <v>1</v>
      </c>
      <c r="D7068">
        <v>1215.8399999999999</v>
      </c>
    </row>
    <row r="7069" spans="1:4">
      <c r="A7069" t="str">
        <f>"65601-95F0B"</f>
        <v>65601-95F0B</v>
      </c>
      <c r="B7069" t="str">
        <f>"нет детальки"</f>
        <v>нет детальки</v>
      </c>
      <c r="C7069">
        <v>0</v>
      </c>
      <c r="D7069">
        <v>1215.8399999999999</v>
      </c>
    </row>
    <row r="7070" spans="1:4">
      <c r="A7070" t="str">
        <f>"65601-9U10A"</f>
        <v>65601-9U10A</v>
      </c>
      <c r="B7070" t="str">
        <f t="shared" ref="B7070:B7080" si="137">"Замок капота"</f>
        <v>Замок капота</v>
      </c>
      <c r="C7070">
        <v>10</v>
      </c>
      <c r="D7070">
        <v>1096.296</v>
      </c>
    </row>
    <row r="7071" spans="1:4">
      <c r="A7071" t="str">
        <f>"65601-9W50A"</f>
        <v>65601-9W50A</v>
      </c>
      <c r="B7071" t="str">
        <f t="shared" si="137"/>
        <v>Замок капота</v>
      </c>
      <c r="C7071">
        <v>0</v>
      </c>
      <c r="D7071">
        <v>1474.5119999999999</v>
      </c>
    </row>
    <row r="7072" spans="1:4">
      <c r="A7072" t="str">
        <f>"65601-AU80A"</f>
        <v>65601-AU80A</v>
      </c>
      <c r="B7072" t="str">
        <f t="shared" si="137"/>
        <v>Замок капота</v>
      </c>
      <c r="C7072">
        <v>5</v>
      </c>
      <c r="D7072">
        <v>1381.4880000000001</v>
      </c>
    </row>
    <row r="7073" spans="1:4">
      <c r="A7073" t="str">
        <f>"65601-AX61C"</f>
        <v>65601-AX61C</v>
      </c>
      <c r="B7073" t="str">
        <f t="shared" si="137"/>
        <v>Замок капота</v>
      </c>
      <c r="C7073">
        <v>9</v>
      </c>
      <c r="D7073">
        <v>2230.1280000000002</v>
      </c>
    </row>
    <row r="7074" spans="1:4">
      <c r="A7074" t="str">
        <f>"65601-CA00A"</f>
        <v>65601-CA00A</v>
      </c>
      <c r="B7074" t="str">
        <f t="shared" si="137"/>
        <v>Замок капота</v>
      </c>
      <c r="C7074">
        <v>2</v>
      </c>
      <c r="D7074">
        <v>1416.576</v>
      </c>
    </row>
    <row r="7075" spans="1:4">
      <c r="A7075" t="str">
        <f>"65601-CG00A"</f>
        <v>65601-CG00A</v>
      </c>
      <c r="B7075" t="str">
        <f t="shared" si="137"/>
        <v>Замок капота</v>
      </c>
      <c r="C7075">
        <v>3</v>
      </c>
      <c r="D7075">
        <v>1522.6560000000002</v>
      </c>
    </row>
    <row r="7076" spans="1:4">
      <c r="A7076" t="str">
        <f>"65601-EB30B"</f>
        <v>65601-EB30B</v>
      </c>
      <c r="B7076" t="str">
        <f t="shared" si="137"/>
        <v>Замок капота</v>
      </c>
      <c r="C7076">
        <v>5</v>
      </c>
      <c r="D7076">
        <v>2335.7999999999997</v>
      </c>
    </row>
    <row r="7077" spans="1:4">
      <c r="A7077" t="str">
        <f>"65601-EL00C"</f>
        <v>65601-EL00C</v>
      </c>
      <c r="B7077" t="str">
        <f t="shared" si="137"/>
        <v>Замок капота</v>
      </c>
      <c r="C7077">
        <v>5</v>
      </c>
      <c r="D7077">
        <v>1142.808</v>
      </c>
    </row>
    <row r="7078" spans="1:4">
      <c r="A7078" t="str">
        <f>"65601-JD000"</f>
        <v>65601-JD000</v>
      </c>
      <c r="B7078" t="str">
        <f t="shared" si="137"/>
        <v>Замок капота</v>
      </c>
      <c r="C7078">
        <v>24</v>
      </c>
      <c r="D7078">
        <v>1291.7280000000001</v>
      </c>
    </row>
    <row r="7079" spans="1:4">
      <c r="A7079" t="str">
        <f>"65601-JG400"</f>
        <v>65601-JG400</v>
      </c>
      <c r="B7079" t="str">
        <f t="shared" si="137"/>
        <v>Замок капота</v>
      </c>
      <c r="C7079">
        <v>0</v>
      </c>
      <c r="D7079">
        <v>1263.576</v>
      </c>
    </row>
    <row r="7080" spans="1:4">
      <c r="A7080" t="str">
        <f>"65601-JN90A"</f>
        <v>65601-JN90A</v>
      </c>
      <c r="B7080" t="str">
        <f t="shared" si="137"/>
        <v>Замок капота</v>
      </c>
      <c r="C7080">
        <v>18</v>
      </c>
      <c r="D7080">
        <v>1477.7760000000001</v>
      </c>
    </row>
    <row r="7081" spans="1:4">
      <c r="A7081" t="str">
        <f>"65602-JK00A"</f>
        <v>65602-JK00A</v>
      </c>
      <c r="B7081" t="str">
        <f>"Кожух замка капо"</f>
        <v>Кожух замка капо</v>
      </c>
      <c r="C7081">
        <v>4</v>
      </c>
      <c r="D7081">
        <v>273.76799999999997</v>
      </c>
    </row>
    <row r="7082" spans="1:4">
      <c r="A7082" t="str">
        <f>"65603-JN00A"</f>
        <v>65603-JN00A</v>
      </c>
      <c r="B7082" t="str">
        <f>"Замок капота"</f>
        <v>Замок капота</v>
      </c>
      <c r="C7082">
        <v>15</v>
      </c>
      <c r="D7082">
        <v>1199.52</v>
      </c>
    </row>
    <row r="7083" spans="1:4">
      <c r="A7083" t="str">
        <f>"65617-1BA1A"</f>
        <v>65617-1BA1A</v>
      </c>
      <c r="B7083" t="str">
        <f>"Замок капота"</f>
        <v>Замок капота</v>
      </c>
      <c r="C7083">
        <v>4</v>
      </c>
      <c r="D7083">
        <v>352.512</v>
      </c>
    </row>
    <row r="7084" spans="1:4">
      <c r="A7084" t="str">
        <f>"65620-1CA1A"</f>
        <v>65620-1CA1A</v>
      </c>
      <c r="B7084" t="str">
        <f>"Трос капота"</f>
        <v>Трос капота</v>
      </c>
      <c r="C7084">
        <v>1</v>
      </c>
      <c r="D7084">
        <v>964.51199999999994</v>
      </c>
    </row>
    <row r="7085" spans="1:4">
      <c r="A7085" t="str">
        <f>"65620-1N015"</f>
        <v>65620-1N015</v>
      </c>
      <c r="B7085" t="str">
        <f>"CABLE ASSY-HOOD"</f>
        <v>CABLE ASSY-HOOD</v>
      </c>
      <c r="C7085">
        <v>3</v>
      </c>
      <c r="D7085">
        <v>752.35199999999998</v>
      </c>
    </row>
    <row r="7086" spans="1:4">
      <c r="A7086" t="str">
        <f>"65620-40U05"</f>
        <v>65620-40U05</v>
      </c>
      <c r="B7086" t="str">
        <f>"CABLE ASSY-HOOD"</f>
        <v>CABLE ASSY-HOOD</v>
      </c>
      <c r="C7086">
        <v>1</v>
      </c>
      <c r="D7086">
        <v>940.84799999999996</v>
      </c>
    </row>
    <row r="7087" spans="1:4">
      <c r="A7087" t="str">
        <f>"65620-95F0A"</f>
        <v>65620-95F0A</v>
      </c>
      <c r="B7087" t="str">
        <f>"Трос замка капот"</f>
        <v>Трос замка капот</v>
      </c>
      <c r="C7087">
        <v>1</v>
      </c>
      <c r="D7087">
        <v>787.44</v>
      </c>
    </row>
    <row r="7088" spans="1:4">
      <c r="A7088" t="str">
        <f>"65620-EL00A"</f>
        <v>65620-EL00A</v>
      </c>
      <c r="B7088" t="str">
        <f>"Трос замка капот"</f>
        <v>Трос замка капот</v>
      </c>
      <c r="C7088">
        <v>3</v>
      </c>
      <c r="D7088">
        <v>612.81600000000003</v>
      </c>
    </row>
    <row r="7089" spans="1:4">
      <c r="A7089" t="str">
        <f>"65620-JG400"</f>
        <v>65620-JG400</v>
      </c>
      <c r="B7089" t="str">
        <f>"Трос замка капот"</f>
        <v>Трос замка капот</v>
      </c>
      <c r="C7089">
        <v>3</v>
      </c>
      <c r="D7089">
        <v>802.12800000000004</v>
      </c>
    </row>
    <row r="7090" spans="1:4">
      <c r="A7090" t="str">
        <f>"65620-JN00A"</f>
        <v>65620-JN00A</v>
      </c>
      <c r="B7090" t="str">
        <f>"Трос замка капот"</f>
        <v>Трос замка капот</v>
      </c>
      <c r="C7090">
        <v>2</v>
      </c>
      <c r="D7090">
        <v>864.95999999999992</v>
      </c>
    </row>
    <row r="7091" spans="1:4">
      <c r="A7091" t="str">
        <f>"65620-JN00B"</f>
        <v>65620-JN00B</v>
      </c>
      <c r="B7091" t="str">
        <f>"Трос замка капот"</f>
        <v>Трос замка капот</v>
      </c>
      <c r="C7091">
        <v>4</v>
      </c>
      <c r="D7091">
        <v>864.95999999999992</v>
      </c>
    </row>
    <row r="7092" spans="1:4">
      <c r="A7092" t="str">
        <f>"65621-4M505"</f>
        <v>65621-4M505</v>
      </c>
      <c r="B7092" t="str">
        <f>"CABLE ASSY-HOOD"</f>
        <v>CABLE ASSY-HOOD</v>
      </c>
      <c r="C7092">
        <v>1</v>
      </c>
      <c r="D7092">
        <v>762.55200000000002</v>
      </c>
    </row>
    <row r="7093" spans="1:4">
      <c r="A7093" t="str">
        <f>"65621-4X00B"</f>
        <v>65621-4X00B</v>
      </c>
      <c r="B7093" t="str">
        <f>"Трос капота"</f>
        <v>Трос капота</v>
      </c>
      <c r="C7093">
        <v>0</v>
      </c>
      <c r="D7093">
        <v>1390.056</v>
      </c>
    </row>
    <row r="7094" spans="1:4">
      <c r="A7094" t="str">
        <f>"65621-8H90A"</f>
        <v>65621-8H90A</v>
      </c>
      <c r="B7094" t="str">
        <f>"Трос замка капот"</f>
        <v>Трос замка капот</v>
      </c>
      <c r="C7094">
        <v>5</v>
      </c>
      <c r="D7094">
        <v>777.64799999999991</v>
      </c>
    </row>
    <row r="7095" spans="1:4">
      <c r="A7095" t="str">
        <f>"65621-BC11B"</f>
        <v>65621-BC11B</v>
      </c>
      <c r="B7095" t="str">
        <f>"Трос замка капот"</f>
        <v>Трос замка капот</v>
      </c>
      <c r="C7095">
        <v>14</v>
      </c>
      <c r="D7095">
        <v>1424.328</v>
      </c>
    </row>
    <row r="7096" spans="1:4">
      <c r="A7096" t="str">
        <f>"65621-BN000"</f>
        <v>65621-BN000</v>
      </c>
      <c r="B7096" t="str">
        <f>"CABLE ASSY-HOOD"</f>
        <v>CABLE ASSY-HOOD</v>
      </c>
      <c r="C7096">
        <v>6</v>
      </c>
      <c r="D7096">
        <v>1336.2</v>
      </c>
    </row>
    <row r="7097" spans="1:4">
      <c r="A7097" t="str">
        <f>"65621-JD000"</f>
        <v>65621-JD000</v>
      </c>
      <c r="B7097" t="str">
        <f>"Трос замка капот"</f>
        <v>Трос замка капот</v>
      </c>
      <c r="C7097">
        <v>9</v>
      </c>
      <c r="D7097">
        <v>846.19199999999989</v>
      </c>
    </row>
    <row r="7098" spans="1:4">
      <c r="A7098" t="str">
        <f>"65621-VB00A"</f>
        <v>65621-VB00A</v>
      </c>
      <c r="B7098" t="str">
        <f>"Трос замка капот"</f>
        <v>Трос замка капот</v>
      </c>
      <c r="C7098">
        <v>4</v>
      </c>
      <c r="D7098">
        <v>853.12800000000004</v>
      </c>
    </row>
    <row r="7099" spans="1:4">
      <c r="A7099" t="str">
        <f>"65624-V0100"</f>
        <v>65624-V0100</v>
      </c>
      <c r="B7099" t="str">
        <f>"CLIP-HOSE"</f>
        <v>CLIP-HOSE</v>
      </c>
      <c r="C7099">
        <v>5</v>
      </c>
      <c r="D7099">
        <v>25.704000000000001</v>
      </c>
    </row>
    <row r="7100" spans="1:4">
      <c r="A7100" t="str">
        <f>"65626-JK00A"</f>
        <v>65626-JK00A</v>
      </c>
      <c r="B7100" t="str">
        <f>"PROTECTOR-HOOD"</f>
        <v>PROTECTOR-HOOD</v>
      </c>
      <c r="C7100">
        <v>0</v>
      </c>
      <c r="D7100">
        <v>442.67999999999995</v>
      </c>
    </row>
    <row r="7101" spans="1:4">
      <c r="A7101" t="str">
        <f>"65722-01E00"</f>
        <v>65722-01E00</v>
      </c>
      <c r="B7101" t="str">
        <f>"CLAMP-HOOD ROD"</f>
        <v>CLAMP-HOOD ROD</v>
      </c>
      <c r="C7101">
        <v>14</v>
      </c>
      <c r="D7101">
        <v>50.183999999999997</v>
      </c>
    </row>
    <row r="7102" spans="1:4">
      <c r="A7102" t="str">
        <f>"65722-95F0A"</f>
        <v>65722-95F0A</v>
      </c>
      <c r="B7102" t="str">
        <f>"Фиксатор стойки капо"</f>
        <v>Фиксатор стойки капо</v>
      </c>
      <c r="C7102">
        <v>53</v>
      </c>
      <c r="D7102">
        <v>76.703999999999994</v>
      </c>
    </row>
    <row r="7103" spans="1:4">
      <c r="A7103" t="str">
        <f>"65722-AL500"</f>
        <v>65722-AL500</v>
      </c>
      <c r="B7103" t="str">
        <f>"CLAMP-ROD HOOD"</f>
        <v>CLAMP-ROD HOOD</v>
      </c>
      <c r="C7103">
        <v>6</v>
      </c>
      <c r="D7103">
        <v>72.623999999999995</v>
      </c>
    </row>
    <row r="7104" spans="1:4">
      <c r="A7104" t="str">
        <f>"65722-CD000"</f>
        <v>65722-CD000</v>
      </c>
      <c r="B7104" t="str">
        <f>"Хомут стойки кап"</f>
        <v>Хомут стойки кап</v>
      </c>
      <c r="C7104">
        <v>11</v>
      </c>
      <c r="D7104">
        <v>75.47999999999999</v>
      </c>
    </row>
    <row r="7105" spans="1:4">
      <c r="A7105" t="str">
        <f>"65722-EB300"</f>
        <v>65722-EB300</v>
      </c>
      <c r="B7105" t="str">
        <f>"Фиксатор стойки капо"</f>
        <v>Фиксатор стойки капо</v>
      </c>
      <c r="C7105">
        <v>0</v>
      </c>
      <c r="D7105">
        <v>61.199999999999996</v>
      </c>
    </row>
    <row r="7106" spans="1:4">
      <c r="A7106" t="str">
        <f>"65722-ED01A"</f>
        <v>65722-ED01A</v>
      </c>
      <c r="B7106" t="str">
        <f>"Держатель стойки кап"</f>
        <v>Держатель стойки кап</v>
      </c>
      <c r="C7106">
        <v>2</v>
      </c>
      <c r="D7106">
        <v>82.416000000000011</v>
      </c>
    </row>
    <row r="7107" spans="1:4">
      <c r="A7107" t="str">
        <f>"65771-EL000"</f>
        <v>65771-EL000</v>
      </c>
      <c r="B7107" t="str">
        <f>"Стойка капота"</f>
        <v>Стойка капота</v>
      </c>
      <c r="C7107">
        <v>2</v>
      </c>
      <c r="D7107">
        <v>700.12800000000004</v>
      </c>
    </row>
    <row r="7108" spans="1:4">
      <c r="A7108" t="str">
        <f>"65771-JD000"</f>
        <v>65771-JD000</v>
      </c>
      <c r="B7108" t="str">
        <f>"Стойка капота"</f>
        <v>Стойка капота</v>
      </c>
      <c r="C7108">
        <v>2</v>
      </c>
      <c r="D7108">
        <v>551.61599999999999</v>
      </c>
    </row>
    <row r="7109" spans="1:4">
      <c r="A7109" t="str">
        <f>"65773-2J000"</f>
        <v>65773-2J000</v>
      </c>
      <c r="B7109" t="str">
        <f>"GROM HOOD ROD"</f>
        <v>GROM HOOD ROD</v>
      </c>
      <c r="C7109">
        <v>11</v>
      </c>
      <c r="D7109">
        <v>47.735999999999997</v>
      </c>
    </row>
    <row r="7110" spans="1:4">
      <c r="A7110" t="str">
        <f>"65810-1CA0A"</f>
        <v>65810-1CA0A</v>
      </c>
      <c r="B7110" t="str">
        <f>"Уплотнитель капо"</f>
        <v>Уплотнитель капо</v>
      </c>
      <c r="C7110">
        <v>1</v>
      </c>
      <c r="D7110">
        <v>719.71199999999999</v>
      </c>
    </row>
    <row r="7111" spans="1:4">
      <c r="A7111" t="str">
        <f>"65810-BM400"</f>
        <v>65810-BM400</v>
      </c>
      <c r="B7111" t="str">
        <f>"SEALING RUBBER-"</f>
        <v>SEALING RUBBER-</v>
      </c>
      <c r="C7111">
        <v>8</v>
      </c>
      <c r="D7111">
        <v>989.80799999999999</v>
      </c>
    </row>
    <row r="7112" spans="1:4">
      <c r="A7112" t="str">
        <f>"65820-1CA0A"</f>
        <v>65820-1CA0A</v>
      </c>
      <c r="B7112" t="str">
        <f>"Уплотнитель капо"</f>
        <v>Уплотнитель капо</v>
      </c>
      <c r="C7112">
        <v>1</v>
      </c>
      <c r="D7112">
        <v>2306.8319999999999</v>
      </c>
    </row>
    <row r="7113" spans="1:4">
      <c r="A7113" t="str">
        <f>"65820-1CA1A"</f>
        <v>65820-1CA1A</v>
      </c>
      <c r="B7113" t="str">
        <f>"Уплотнитель капо"</f>
        <v>Уплотнитель капо</v>
      </c>
      <c r="C7113">
        <v>5</v>
      </c>
      <c r="D7113">
        <v>589.15199999999993</v>
      </c>
    </row>
    <row r="7114" spans="1:4">
      <c r="A7114" t="str">
        <f>"65820-JK010"</f>
        <v>65820-JK010</v>
      </c>
      <c r="B7114" t="str">
        <f>"Уплотнитель капо"</f>
        <v>Уплотнитель капо</v>
      </c>
      <c r="C7114">
        <v>1</v>
      </c>
      <c r="D7114">
        <v>1361.4959999999999</v>
      </c>
    </row>
    <row r="7115" spans="1:4">
      <c r="A7115" t="str">
        <f>"65822-05S60"</f>
        <v>65822-05S60</v>
      </c>
      <c r="B7115" t="str">
        <f>"RUBBER F/FENDER"</f>
        <v>RUBBER F/FENDER</v>
      </c>
      <c r="C7115">
        <v>8</v>
      </c>
      <c r="D7115">
        <v>113.01600000000001</v>
      </c>
    </row>
    <row r="7116" spans="1:4">
      <c r="A7116" t="str">
        <f>"65822-4M700"</f>
        <v>65822-4M700</v>
      </c>
      <c r="B7116" t="str">
        <f>"BMPR HOOD FR"</f>
        <v>BMPR HOOD FR</v>
      </c>
      <c r="C7116">
        <v>37</v>
      </c>
      <c r="D7116">
        <v>99.96</v>
      </c>
    </row>
    <row r="7117" spans="1:4">
      <c r="A7117" t="str">
        <f>"65823-26U00"</f>
        <v>65823-26U00</v>
      </c>
      <c r="B7117" t="str">
        <f>"Отбойник капота"</f>
        <v>Отбойник капота</v>
      </c>
      <c r="C7117">
        <v>27</v>
      </c>
      <c r="D7117">
        <v>92.207999999999998</v>
      </c>
    </row>
    <row r="7118" spans="1:4">
      <c r="A7118" t="str">
        <f>"65823-S5003"</f>
        <v>65823-S5003</v>
      </c>
      <c r="B7118" t="str">
        <f>"BUMPER-HOOD"</f>
        <v>BUMPER-HOOD</v>
      </c>
      <c r="C7118">
        <v>3</v>
      </c>
      <c r="D7118">
        <v>55.488</v>
      </c>
    </row>
    <row r="7119" spans="1:4">
      <c r="A7119" t="str">
        <f>"65829-8J000"</f>
        <v>65829-8J000</v>
      </c>
      <c r="B7119" t="str">
        <f>"Отбойник капота"</f>
        <v>Отбойник капота</v>
      </c>
      <c r="C7119">
        <v>25</v>
      </c>
      <c r="D7119">
        <v>48.143999999999998</v>
      </c>
    </row>
    <row r="7120" spans="1:4">
      <c r="A7120" t="str">
        <f>"65829-JG40A"</f>
        <v>65829-JG40A</v>
      </c>
      <c r="B7120" t="str">
        <f>"Отбойник резинов"</f>
        <v>Отбойник резинов</v>
      </c>
      <c r="C7120">
        <v>1</v>
      </c>
      <c r="D7120">
        <v>129.33599999999998</v>
      </c>
    </row>
    <row r="7121" spans="1:4">
      <c r="A7121" t="str">
        <f>"65829-JK00A"</f>
        <v>65829-JK00A</v>
      </c>
      <c r="B7121" t="str">
        <f>"Отбойник капота"</f>
        <v>Отбойник капота</v>
      </c>
      <c r="C7121">
        <v>43</v>
      </c>
      <c r="D7121">
        <v>102.408</v>
      </c>
    </row>
    <row r="7122" spans="1:4">
      <c r="A7122" t="str">
        <f>"65832-95F0A"</f>
        <v>65832-95F0A</v>
      </c>
      <c r="B7122" t="str">
        <f>"Пистон обшивки капот"</f>
        <v>Пистон обшивки капот</v>
      </c>
      <c r="C7122">
        <v>3</v>
      </c>
      <c r="D7122">
        <v>192.57599999999999</v>
      </c>
    </row>
    <row r="7123" spans="1:4">
      <c r="A7123" t="str">
        <f>"65834-EJ80A"</f>
        <v>65834-EJ80A</v>
      </c>
      <c r="B7123" t="str">
        <f>"Молдинг капота"</f>
        <v>Молдинг капота</v>
      </c>
      <c r="C7123">
        <v>7</v>
      </c>
      <c r="D7123">
        <v>1806.2160000000001</v>
      </c>
    </row>
    <row r="7124" spans="1:4">
      <c r="A7124" t="str">
        <f>"65834-EV50C"</f>
        <v>65834-EV50C</v>
      </c>
      <c r="B7124" t="str">
        <f>"Молдинг капота"</f>
        <v>Молдинг капота</v>
      </c>
      <c r="C7124">
        <v>5</v>
      </c>
      <c r="D7124">
        <v>2224.8240000000001</v>
      </c>
    </row>
    <row r="7125" spans="1:4">
      <c r="A7125" t="str">
        <f>"65840-1CA0A"</f>
        <v>65840-1CA0A</v>
      </c>
      <c r="B7125" t="str">
        <f>"Обшивка капота"</f>
        <v>Обшивка капота</v>
      </c>
      <c r="C7125">
        <v>0</v>
      </c>
      <c r="D7125">
        <v>6025.7519999999995</v>
      </c>
    </row>
    <row r="7126" spans="1:4">
      <c r="A7126" t="str">
        <f>"65840-8H300"</f>
        <v>65840-8H300</v>
      </c>
      <c r="B7126" t="str">
        <f>"INSULATOR-HOOD"</f>
        <v>INSULATOR-HOOD</v>
      </c>
      <c r="C7126">
        <v>2</v>
      </c>
      <c r="D7126">
        <v>2710.3439999999996</v>
      </c>
    </row>
    <row r="7127" spans="1:4">
      <c r="A7127" t="str">
        <f>"65840-95F0A"</f>
        <v>65840-95F0A</v>
      </c>
      <c r="B7127" t="str">
        <f>"Обшивка капота"</f>
        <v>Обшивка капота</v>
      </c>
      <c r="C7127">
        <v>1</v>
      </c>
      <c r="D7127">
        <v>2609.5679999999998</v>
      </c>
    </row>
    <row r="7128" spans="1:4">
      <c r="A7128" t="str">
        <f>"65840-9Y000"</f>
        <v>65840-9Y000</v>
      </c>
      <c r="B7128" t="str">
        <f>"Обшивка капота"</f>
        <v>Обшивка капота</v>
      </c>
      <c r="C7128">
        <v>1</v>
      </c>
      <c r="D7128">
        <v>2857.2239999999997</v>
      </c>
    </row>
    <row r="7129" spans="1:4">
      <c r="A7129" t="str">
        <f>"65840-BN710"</f>
        <v>65840-BN710</v>
      </c>
      <c r="B7129" t="str">
        <f>"INSULATOR-HOOD"</f>
        <v>INSULATOR-HOOD</v>
      </c>
      <c r="C7129">
        <v>0</v>
      </c>
      <c r="D7129">
        <v>2355.7919999999999</v>
      </c>
    </row>
    <row r="7130" spans="1:4">
      <c r="A7130" t="str">
        <f>"65840-BR00A"</f>
        <v>65840-BR00A</v>
      </c>
      <c r="B7130" t="str">
        <f>"Обшивка капота"</f>
        <v>Обшивка капота</v>
      </c>
      <c r="C7130">
        <v>0</v>
      </c>
      <c r="D7130">
        <v>2232.9839999999999</v>
      </c>
    </row>
    <row r="7131" spans="1:4">
      <c r="A7131" t="str">
        <f>"65840-CG000"</f>
        <v>65840-CG000</v>
      </c>
      <c r="B7131" t="str">
        <f>"INSULATOR-HOOD"</f>
        <v>INSULATOR-HOOD</v>
      </c>
      <c r="C7131">
        <v>2</v>
      </c>
      <c r="D7131">
        <v>5151.4080000000004</v>
      </c>
    </row>
    <row r="7132" spans="1:4">
      <c r="A7132" t="str">
        <f>"65840-JD000"</f>
        <v>65840-JD000</v>
      </c>
      <c r="B7132" t="str">
        <f>"Обшивка капота"</f>
        <v>Обшивка капота</v>
      </c>
      <c r="C7132">
        <v>6</v>
      </c>
      <c r="D7132">
        <v>3201.576</v>
      </c>
    </row>
    <row r="7133" spans="1:4">
      <c r="A7133" t="str">
        <f>"65840-JG40A"</f>
        <v>65840-JG40A</v>
      </c>
      <c r="B7133" t="str">
        <f>"Обшивка капота"</f>
        <v>Обшивка капота</v>
      </c>
      <c r="C7133">
        <v>1</v>
      </c>
      <c r="D7133">
        <v>2618.5439999999999</v>
      </c>
    </row>
    <row r="7134" spans="1:4">
      <c r="A7134" t="str">
        <f>"65846-40F00"</f>
        <v>65846-40F00</v>
      </c>
      <c r="B7134" t="str">
        <f>"CLIP-HOOD INSUL"</f>
        <v>CLIP-HOOD INSUL</v>
      </c>
      <c r="C7134">
        <v>23</v>
      </c>
      <c r="D7134">
        <v>29.375999999999998</v>
      </c>
    </row>
    <row r="7135" spans="1:4">
      <c r="A7135" t="str">
        <f>"65890-AU300"</f>
        <v>65890-AU300</v>
      </c>
      <c r="B7135" t="str">
        <f>"EMBLEM-HOOD"</f>
        <v>EMBLEM-HOOD</v>
      </c>
      <c r="C7135">
        <v>8</v>
      </c>
      <c r="D7135">
        <v>1137.5039999999999</v>
      </c>
    </row>
    <row r="7136" spans="1:4">
      <c r="A7136" t="str">
        <f>"66814-01G00"</f>
        <v>66814-01G00</v>
      </c>
      <c r="B7136" t="str">
        <f>"FASTENER-COWL"</f>
        <v>FASTENER-COWL</v>
      </c>
      <c r="C7136">
        <v>16</v>
      </c>
      <c r="D7136">
        <v>21.215999999999998</v>
      </c>
    </row>
    <row r="7137" spans="1:4">
      <c r="A7137" t="str">
        <f>"66820-61U00"</f>
        <v>66820-61U00</v>
      </c>
      <c r="B7137" t="str">
        <f>"CLIP-COWL TOP"</f>
        <v>CLIP-COWL TOP</v>
      </c>
      <c r="C7137">
        <v>0</v>
      </c>
      <c r="D7137">
        <v>53.04</v>
      </c>
    </row>
    <row r="7138" spans="1:4">
      <c r="A7138" t="str">
        <f>"66820-9F900"</f>
        <v>66820-9F900</v>
      </c>
      <c r="B7138" t="str">
        <f>"CLIP"</f>
        <v>CLIP</v>
      </c>
      <c r="C7138">
        <v>22</v>
      </c>
      <c r="D7138">
        <v>54.672000000000004</v>
      </c>
    </row>
    <row r="7139" spans="1:4">
      <c r="A7139" t="str">
        <f>"66820-ED000"</f>
        <v>66820-ED000</v>
      </c>
      <c r="B7139" t="str">
        <f>"Пистон кожуха"</f>
        <v>Пистон кожуха</v>
      </c>
      <c r="C7139">
        <v>0</v>
      </c>
      <c r="D7139">
        <v>39.984000000000002</v>
      </c>
    </row>
    <row r="7140" spans="1:4">
      <c r="A7140" t="str">
        <f>"66820-EM30A"</f>
        <v>66820-EM30A</v>
      </c>
      <c r="B7140" t="str">
        <f>"Кожух"</f>
        <v>Кожух</v>
      </c>
      <c r="C7140">
        <v>1</v>
      </c>
      <c r="D7140">
        <v>636.07199999999989</v>
      </c>
    </row>
    <row r="7141" spans="1:4">
      <c r="A7141" t="str">
        <f>"66820-JG00A"</f>
        <v>66820-JG00A</v>
      </c>
      <c r="B7141" t="str">
        <f>"Облицовка кожуха мот"</f>
        <v>Облицовка кожуха мот</v>
      </c>
      <c r="C7141">
        <v>20</v>
      </c>
      <c r="D7141">
        <v>162.792</v>
      </c>
    </row>
    <row r="7142" spans="1:4">
      <c r="A7142" t="str">
        <f>"66832-95F0B"</f>
        <v>66832-95F0B</v>
      </c>
      <c r="B7142" t="str">
        <f>"Облицовка моторного "</f>
        <v xml:space="preserve">Облицовка моторного </v>
      </c>
      <c r="C7142">
        <v>5</v>
      </c>
      <c r="D7142">
        <v>3264</v>
      </c>
    </row>
    <row r="7143" spans="1:4">
      <c r="A7143" t="str">
        <f>"66860-01W01"</f>
        <v>66860-01W01</v>
      </c>
      <c r="B7143" t="str">
        <f>"CLIP CANOE"</f>
        <v>CLIP CANOE</v>
      </c>
      <c r="C7143">
        <v>23</v>
      </c>
      <c r="D7143">
        <v>32.64</v>
      </c>
    </row>
    <row r="7144" spans="1:4">
      <c r="A7144" t="str">
        <f>"66862-8H900"</f>
        <v>66862-8H900</v>
      </c>
      <c r="B7144" t="str">
        <f>"COVER-COWL TOP"</f>
        <v>COVER-COWL TOP</v>
      </c>
      <c r="C7144">
        <v>2</v>
      </c>
      <c r="D7144">
        <v>1758.48</v>
      </c>
    </row>
    <row r="7145" spans="1:4">
      <c r="A7145" t="str">
        <f>"66862-9U100"</f>
        <v>66862-9U100</v>
      </c>
      <c r="B7145" t="str">
        <f>"Кожух моторного отсе"</f>
        <v>Кожух моторного отсе</v>
      </c>
      <c r="C7145">
        <v>1</v>
      </c>
      <c r="D7145">
        <v>3414.96</v>
      </c>
    </row>
    <row r="7146" spans="1:4">
      <c r="A7146" t="str">
        <f>"66862-BN710"</f>
        <v>66862-BN710</v>
      </c>
      <c r="B7146" t="str">
        <f>"COVER-COWL TOP"</f>
        <v>COVER-COWL TOP</v>
      </c>
      <c r="C7146">
        <v>1</v>
      </c>
      <c r="D7146">
        <v>2910.672</v>
      </c>
    </row>
    <row r="7147" spans="1:4">
      <c r="A7147" t="str">
        <f>"66862-EL000"</f>
        <v>66862-EL000</v>
      </c>
      <c r="B7147" t="str">
        <f>"Кожух механизма стек"</f>
        <v>Кожух механизма стек</v>
      </c>
      <c r="C7147">
        <v>6</v>
      </c>
      <c r="D7147">
        <v>3488.808</v>
      </c>
    </row>
    <row r="7148" spans="1:4">
      <c r="A7148" t="str">
        <f>"66862-JD900"</f>
        <v>66862-JD900</v>
      </c>
      <c r="B7148" t="str">
        <f>"Кожух механизма стек"</f>
        <v>Кожух механизма стек</v>
      </c>
      <c r="C7148">
        <v>7</v>
      </c>
      <c r="D7148">
        <v>3237.0719999999997</v>
      </c>
    </row>
    <row r="7149" spans="1:4">
      <c r="A7149" t="str">
        <f>"66862-JG400"</f>
        <v>66862-JG400</v>
      </c>
      <c r="B7149" t="str">
        <f>"Кожух механизма стек"</f>
        <v>Кожух механизма стек</v>
      </c>
      <c r="C7149">
        <v>1</v>
      </c>
      <c r="D7149">
        <v>2734.4159999999997</v>
      </c>
    </row>
    <row r="7150" spans="1:4">
      <c r="A7150" t="str">
        <f>"66863-8H900"</f>
        <v>66863-8H900</v>
      </c>
      <c r="B7150" t="str">
        <f>"COVER-COWL TOP"</f>
        <v>COVER-COWL TOP</v>
      </c>
      <c r="C7150">
        <v>1</v>
      </c>
      <c r="D7150">
        <v>1734</v>
      </c>
    </row>
    <row r="7151" spans="1:4">
      <c r="A7151" t="str">
        <f>"66863-AU315"</f>
        <v>66863-AU315</v>
      </c>
      <c r="B7151" t="str">
        <f>"COVER-COWL TOP"</f>
        <v>COVER-COWL TOP</v>
      </c>
      <c r="C7151">
        <v>1</v>
      </c>
      <c r="D7151">
        <v>3696.8879999999995</v>
      </c>
    </row>
    <row r="7152" spans="1:4">
      <c r="A7152" t="str">
        <f>"66892-JD01A"</f>
        <v>66892-JD01A</v>
      </c>
      <c r="B7152" t="str">
        <f>"Уплотнитель"</f>
        <v>Уплотнитель</v>
      </c>
      <c r="C7152">
        <v>2</v>
      </c>
      <c r="D7152">
        <v>694.82399999999996</v>
      </c>
    </row>
    <row r="7153" spans="1:4">
      <c r="A7153" t="str">
        <f>"66894-9U00A"</f>
        <v>66894-9U00A</v>
      </c>
      <c r="B7153" t="str">
        <f>"Облицовка переднего "</f>
        <v xml:space="preserve">Облицовка переднего </v>
      </c>
      <c r="C7153">
        <v>5</v>
      </c>
      <c r="D7153">
        <v>1153.4159999999999</v>
      </c>
    </row>
    <row r="7154" spans="1:4">
      <c r="A7154" t="str">
        <f>"66894-AX01B"</f>
        <v>66894-AX01B</v>
      </c>
      <c r="B7154" t="str">
        <f>"Заглушка переднего к"</f>
        <v>Заглушка переднего к</v>
      </c>
      <c r="C7154">
        <v>2</v>
      </c>
      <c r="D7154">
        <v>422.68799999999999</v>
      </c>
    </row>
    <row r="7155" spans="1:4">
      <c r="A7155" t="str">
        <f>"66894-BR00A"</f>
        <v>66894-BR00A</v>
      </c>
      <c r="B7155" t="str">
        <f>"Заглушка переднего к"</f>
        <v>Заглушка переднего к</v>
      </c>
      <c r="C7155">
        <v>0</v>
      </c>
      <c r="D7155">
        <v>731.54399999999998</v>
      </c>
    </row>
    <row r="7156" spans="1:4">
      <c r="A7156" t="str">
        <f>"66894-EL000"</f>
        <v>66894-EL000</v>
      </c>
      <c r="B7156" t="str">
        <f>"Облицовка переднего "</f>
        <v xml:space="preserve">Облицовка переднего </v>
      </c>
      <c r="C7156">
        <v>13</v>
      </c>
      <c r="D7156">
        <v>585.88800000000003</v>
      </c>
    </row>
    <row r="7157" spans="1:4">
      <c r="A7157" t="str">
        <f>"66894-JD000"</f>
        <v>66894-JD000</v>
      </c>
      <c r="B7157" t="str">
        <f t="shared" ref="B7157:B7162" si="138">"Заглушка переднего к"</f>
        <v>Заглушка переднего к</v>
      </c>
      <c r="C7157">
        <v>20</v>
      </c>
      <c r="D7157">
        <v>663.40800000000002</v>
      </c>
    </row>
    <row r="7158" spans="1:4">
      <c r="A7158" t="str">
        <f>"66894-JG000"</f>
        <v>66894-JG000</v>
      </c>
      <c r="B7158" t="str">
        <f t="shared" si="138"/>
        <v>Заглушка переднего к</v>
      </c>
      <c r="C7158">
        <v>19</v>
      </c>
      <c r="D7158">
        <v>409.63200000000001</v>
      </c>
    </row>
    <row r="7159" spans="1:4">
      <c r="A7159" t="str">
        <f>"66895-9U00A"</f>
        <v>66895-9U00A</v>
      </c>
      <c r="B7159" t="str">
        <f t="shared" si="138"/>
        <v>Заглушка переднего к</v>
      </c>
      <c r="C7159">
        <v>5</v>
      </c>
      <c r="D7159">
        <v>1168.5119999999999</v>
      </c>
    </row>
    <row r="7160" spans="1:4">
      <c r="A7160" t="str">
        <f>"66895-BR00A"</f>
        <v>66895-BR00A</v>
      </c>
      <c r="B7160" t="str">
        <f t="shared" si="138"/>
        <v>Заглушка переднего к</v>
      </c>
      <c r="C7160">
        <v>0</v>
      </c>
      <c r="D7160">
        <v>745.82399999999996</v>
      </c>
    </row>
    <row r="7161" spans="1:4">
      <c r="A7161" t="str">
        <f>"66895-EL000"</f>
        <v>66895-EL000</v>
      </c>
      <c r="B7161" t="str">
        <f t="shared" si="138"/>
        <v>Заглушка переднего к</v>
      </c>
      <c r="C7161">
        <v>16</v>
      </c>
      <c r="D7161">
        <v>666.67199999999991</v>
      </c>
    </row>
    <row r="7162" spans="1:4">
      <c r="A7162" t="str">
        <f>"66895-JD000"</f>
        <v>66895-JD000</v>
      </c>
      <c r="B7162" t="str">
        <f t="shared" si="138"/>
        <v>Заглушка переднего к</v>
      </c>
      <c r="C7162">
        <v>12</v>
      </c>
      <c r="D7162">
        <v>671.16</v>
      </c>
    </row>
    <row r="7163" spans="1:4">
      <c r="A7163" t="str">
        <f>"66895-JG000"</f>
        <v>66895-JG000</v>
      </c>
      <c r="B7163" t="str">
        <f>"Пластиковая заглушка"</f>
        <v>Пластиковая заглушка</v>
      </c>
      <c r="C7163">
        <v>4</v>
      </c>
      <c r="D7163">
        <v>405.55199999999996</v>
      </c>
    </row>
    <row r="7164" spans="1:4">
      <c r="A7164" t="str">
        <f>"66898-JD000"</f>
        <v>66898-JD000</v>
      </c>
      <c r="B7164" t="str">
        <f>"Кожух переднего крыл"</f>
        <v>Кожух переднего крыл</v>
      </c>
      <c r="C7164">
        <v>3</v>
      </c>
      <c r="D7164">
        <v>724.19999999999993</v>
      </c>
    </row>
    <row r="7165" spans="1:4">
      <c r="A7165" t="str">
        <f>"66899-JD000"</f>
        <v>66899-JD000</v>
      </c>
      <c r="B7165" t="str">
        <f>"Пластиковая заглушка"</f>
        <v>Пластиковая заглушка</v>
      </c>
      <c r="C7165">
        <v>12</v>
      </c>
      <c r="D7165">
        <v>767.85599999999999</v>
      </c>
    </row>
    <row r="7166" spans="1:4">
      <c r="A7166" t="str">
        <f>"66919-95F0A"</f>
        <v>66919-95F0A</v>
      </c>
      <c r="B7166" t="str">
        <f>"Пистон заднего бампе"</f>
        <v>Пистон заднего бампе</v>
      </c>
      <c r="C7166">
        <v>2</v>
      </c>
      <c r="D7166">
        <v>26.52</v>
      </c>
    </row>
    <row r="7167" spans="1:4">
      <c r="A7167" t="str">
        <f>"66919-H1001"</f>
        <v>66919-H1001</v>
      </c>
      <c r="B7167" t="str">
        <f>"CLIP"</f>
        <v>CLIP</v>
      </c>
      <c r="C7167">
        <v>2</v>
      </c>
      <c r="D7167">
        <v>26.52</v>
      </c>
    </row>
    <row r="7168" spans="1:4">
      <c r="A7168" t="str">
        <f>"67900-EQ200"</f>
        <v>67900-EQ200</v>
      </c>
      <c r="B7168" t="str">
        <f>"УТЕПЛИТЕЛЬ"</f>
        <v>УТЕПЛИТЕЛЬ</v>
      </c>
      <c r="C7168">
        <v>1</v>
      </c>
      <c r="D7168">
        <v>3798.48</v>
      </c>
    </row>
    <row r="7169" spans="1:4">
      <c r="A7169" t="str">
        <f>"68106-95F0F"</f>
        <v>68106-95F0F</v>
      </c>
      <c r="B7169" t="str">
        <f>"Облицовка панели при"</f>
        <v>Облицовка панели при</v>
      </c>
      <c r="C7169">
        <v>1</v>
      </c>
      <c r="D7169">
        <v>3252.1679999999997</v>
      </c>
    </row>
    <row r="7170" spans="1:4">
      <c r="A7170" t="str">
        <f>"68199-AU000"</f>
        <v>68199-AU000</v>
      </c>
      <c r="B7170" t="str">
        <f>"Пистон самореза"</f>
        <v>Пистон самореза</v>
      </c>
      <c r="C7170">
        <v>4</v>
      </c>
      <c r="D7170">
        <v>61.199999999999996</v>
      </c>
    </row>
    <row r="7171" spans="1:4">
      <c r="A7171" t="str">
        <f>"68200-JG41A"</f>
        <v>68200-JG41A</v>
      </c>
      <c r="B7171" t="str">
        <f>"Панель приборов"</f>
        <v>Панель приборов</v>
      </c>
      <c r="C7171">
        <v>1</v>
      </c>
      <c r="D7171">
        <v>34197.743999999999</v>
      </c>
    </row>
    <row r="7172" spans="1:4">
      <c r="A7172" t="str">
        <f>"68200-JG41B"</f>
        <v>68200-JG41B</v>
      </c>
      <c r="B7172" t="str">
        <f>"Панель приборов"</f>
        <v>Панель приборов</v>
      </c>
      <c r="C7172">
        <v>0</v>
      </c>
      <c r="D7172">
        <v>32487.815999999999</v>
      </c>
    </row>
    <row r="7173" spans="1:4">
      <c r="A7173" t="str">
        <f>"68213-9U10B"</f>
        <v>68213-9U10B</v>
      </c>
      <c r="B7173" t="str">
        <f>"Накладка панели приб"</f>
        <v>Накладка панели приб</v>
      </c>
      <c r="C7173">
        <v>3</v>
      </c>
      <c r="D7173">
        <v>5355.4080000000004</v>
      </c>
    </row>
    <row r="7174" spans="1:4">
      <c r="A7174" t="str">
        <f>"68235-JD00B"</f>
        <v>68235-JD00B</v>
      </c>
      <c r="B7174" t="str">
        <f>"Облицовка приборной "</f>
        <v xml:space="preserve">Облицовка приборной </v>
      </c>
      <c r="C7174">
        <v>2</v>
      </c>
      <c r="D7174">
        <v>2543.0639999999999</v>
      </c>
    </row>
    <row r="7175" spans="1:4">
      <c r="A7175" t="str">
        <f>"68433-BM400"</f>
        <v>68433-BM400</v>
      </c>
      <c r="B7175" t="str">
        <f>"LATCH-LID"</f>
        <v>LATCH-LID</v>
      </c>
      <c r="C7175">
        <v>3</v>
      </c>
      <c r="D7175">
        <v>248.06399999999999</v>
      </c>
    </row>
    <row r="7176" spans="1:4">
      <c r="A7176" t="str">
        <f>"68475-95F0A"</f>
        <v>68475-95F0A</v>
      </c>
      <c r="B7176" t="str">
        <f>"Облицовка панели при"</f>
        <v>Облицовка панели при</v>
      </c>
      <c r="C7176">
        <v>0</v>
      </c>
      <c r="D7176">
        <v>1448.8079999999998</v>
      </c>
    </row>
    <row r="7177" spans="1:4">
      <c r="A7177" t="str">
        <f>"68475-95F0B"</f>
        <v>68475-95F0B</v>
      </c>
      <c r="B7177" t="str">
        <f>"Облицовка панели при"</f>
        <v>Облицовка панели при</v>
      </c>
      <c r="C7177">
        <v>6</v>
      </c>
      <c r="D7177">
        <v>1879.6559999999999</v>
      </c>
    </row>
    <row r="7178" spans="1:4">
      <c r="A7178" t="str">
        <f>"68551-95F0B"</f>
        <v>68551-95F0B</v>
      </c>
      <c r="B7178" t="str">
        <f>"Пистон перчаточного "</f>
        <v xml:space="preserve">Пистон перчаточного </v>
      </c>
      <c r="C7178">
        <v>13</v>
      </c>
      <c r="D7178">
        <v>104.44800000000001</v>
      </c>
    </row>
    <row r="7179" spans="1:4">
      <c r="A7179" t="str">
        <f>"68630-EQ300"</f>
        <v>68630-EQ300</v>
      </c>
      <c r="B7179" t="str">
        <f>"LOCK ASSY-GLOVE"</f>
        <v>LOCK ASSY-GLOVE</v>
      </c>
      <c r="C7179">
        <v>2</v>
      </c>
      <c r="D7179">
        <v>736.84799999999996</v>
      </c>
    </row>
    <row r="7180" spans="1:4">
      <c r="A7180" t="str">
        <f>"68800-EB300"</f>
        <v>68800-EB300</v>
      </c>
      <c r="B7180" t="str">
        <f>"Пепельница"</f>
        <v>Пепельница</v>
      </c>
      <c r="C7180">
        <v>4</v>
      </c>
      <c r="D7180">
        <v>4663.848</v>
      </c>
    </row>
    <row r="7181" spans="1:4">
      <c r="A7181" t="str">
        <f>"68960-AV700"</f>
        <v>68960-AV700</v>
      </c>
      <c r="B7181" t="str">
        <f>"MASK-SWITCH HOL"</f>
        <v>MASK-SWITCH HOL</v>
      </c>
      <c r="C7181">
        <v>9</v>
      </c>
      <c r="D7181">
        <v>463.89599999999996</v>
      </c>
    </row>
    <row r="7182" spans="1:4">
      <c r="A7182" t="str">
        <f>"72613-95F0G"</f>
        <v>72613-95F0G</v>
      </c>
      <c r="B7182" t="str">
        <f>"Стекло лобовое (верх"</f>
        <v>Стекло лобовое (верх</v>
      </c>
      <c r="C7182">
        <v>6</v>
      </c>
      <c r="D7182">
        <v>15556.224</v>
      </c>
    </row>
    <row r="7183" spans="1:4">
      <c r="A7183" t="str">
        <f>"72700-5X00A"</f>
        <v>72700-5X00A</v>
      </c>
      <c r="B7183" t="str">
        <f>"Стекло лобовое"</f>
        <v>Стекло лобовое</v>
      </c>
      <c r="C7183">
        <v>2</v>
      </c>
      <c r="D7183">
        <v>12963.384</v>
      </c>
    </row>
    <row r="7184" spans="1:4">
      <c r="A7184" t="str">
        <f>"72700-7S00A"</f>
        <v>72700-7S00A</v>
      </c>
      <c r="B7184" t="str">
        <f>"Стекло лобовое"</f>
        <v>Стекло лобовое</v>
      </c>
      <c r="C7184">
        <v>4</v>
      </c>
      <c r="D7184">
        <v>10889.52</v>
      </c>
    </row>
    <row r="7185" spans="1:4">
      <c r="A7185" t="str">
        <f>"72700-9U00B"</f>
        <v>72700-9U00B</v>
      </c>
      <c r="B7185" t="str">
        <f>"Стекло лобовое"</f>
        <v>Стекло лобовое</v>
      </c>
      <c r="C7185">
        <v>1</v>
      </c>
      <c r="D7185">
        <v>4666.7039999999997</v>
      </c>
    </row>
    <row r="7186" spans="1:4">
      <c r="A7186" t="str">
        <f>"72700-9U01B"</f>
        <v>72700-9U01B</v>
      </c>
      <c r="B7186" t="str">
        <f>"GLASS-WINDSHIEL"</f>
        <v>GLASS-WINDSHIEL</v>
      </c>
      <c r="C7186">
        <v>0</v>
      </c>
      <c r="D7186">
        <v>4666.7039999999997</v>
      </c>
    </row>
    <row r="7187" spans="1:4">
      <c r="A7187" t="str">
        <f>"72700-AV706"</f>
        <v>72700-AV706</v>
      </c>
      <c r="B7187" t="str">
        <f>"Стекло лобовое"</f>
        <v>Стекло лобовое</v>
      </c>
      <c r="C7187">
        <v>1</v>
      </c>
      <c r="D7187">
        <v>8210.1839999999993</v>
      </c>
    </row>
    <row r="7188" spans="1:4">
      <c r="A7188" t="str">
        <f>"72700-AV716"</f>
        <v>72700-AV716</v>
      </c>
      <c r="B7188" t="str">
        <f>"Стекло лобовое"</f>
        <v>Стекло лобовое</v>
      </c>
      <c r="C7188">
        <v>1</v>
      </c>
      <c r="D7188">
        <v>9825.4560000000001</v>
      </c>
    </row>
    <row r="7189" spans="1:4">
      <c r="A7189" t="str">
        <f>"72700-AX60A"</f>
        <v>72700-AX60A</v>
      </c>
      <c r="B7189" t="str">
        <f>"Стекло лобовое"</f>
        <v>Стекло лобовое</v>
      </c>
      <c r="C7189">
        <v>2</v>
      </c>
      <c r="D7189">
        <v>4926.192</v>
      </c>
    </row>
    <row r="7190" spans="1:4">
      <c r="A7190" t="str">
        <f>"72700-BM400"</f>
        <v>72700-BM400</v>
      </c>
      <c r="B7190" t="str">
        <f>"GLASS-WINDSHIEL"</f>
        <v>GLASS-WINDSHIEL</v>
      </c>
      <c r="C7190">
        <v>2</v>
      </c>
      <c r="D7190">
        <v>5703.8399999999992</v>
      </c>
    </row>
    <row r="7191" spans="1:4">
      <c r="A7191" t="str">
        <f>"72700-CC00B"</f>
        <v>72700-CC00B</v>
      </c>
      <c r="B7191" t="str">
        <f>"Стекло лобовое"</f>
        <v>Стекло лобовое</v>
      </c>
      <c r="C7191">
        <v>13</v>
      </c>
      <c r="D7191">
        <v>25149.119999999999</v>
      </c>
    </row>
    <row r="7192" spans="1:4">
      <c r="A7192" t="str">
        <f>"72700-EB30B"</f>
        <v>72700-EB30B</v>
      </c>
      <c r="B7192" t="str">
        <f>"Стекло лобовое"</f>
        <v>Стекло лобовое</v>
      </c>
      <c r="C7192">
        <v>1</v>
      </c>
      <c r="D7192">
        <v>7000.0559999999996</v>
      </c>
    </row>
    <row r="7193" spans="1:4">
      <c r="A7193" t="str">
        <f>"72700-EM15A"</f>
        <v>72700-EM15A</v>
      </c>
      <c r="B7193" t="str">
        <f>"Стекло лобовое (датч"</f>
        <v>Стекло лобовое (датч</v>
      </c>
      <c r="C7193">
        <v>1</v>
      </c>
      <c r="D7193">
        <v>10889.52</v>
      </c>
    </row>
    <row r="7194" spans="1:4">
      <c r="A7194" t="str">
        <f>"72700-EM30A"</f>
        <v>72700-EM30A</v>
      </c>
      <c r="B7194" t="str">
        <f t="shared" ref="B7194:B7201" si="139">"Стекло лобовое"</f>
        <v>Стекло лобовое</v>
      </c>
      <c r="C7194">
        <v>2</v>
      </c>
      <c r="D7194">
        <v>10889.52</v>
      </c>
    </row>
    <row r="7195" spans="1:4">
      <c r="A7195" t="str">
        <f>"72700-JD85C"</f>
        <v>72700-JD85C</v>
      </c>
      <c r="B7195" t="str">
        <f t="shared" si="139"/>
        <v>Стекло лобовое</v>
      </c>
      <c r="C7195">
        <v>2</v>
      </c>
      <c r="D7195">
        <v>6222</v>
      </c>
    </row>
    <row r="7196" spans="1:4">
      <c r="A7196" t="str">
        <f>"72700-JG90A"</f>
        <v>72700-JG90A</v>
      </c>
      <c r="B7196" t="str">
        <f t="shared" si="139"/>
        <v>Стекло лобовое</v>
      </c>
      <c r="C7196">
        <v>2</v>
      </c>
      <c r="D7196">
        <v>11667.168</v>
      </c>
    </row>
    <row r="7197" spans="1:4">
      <c r="A7197" t="str">
        <f>"72700-JK600"</f>
        <v>72700-JK600</v>
      </c>
      <c r="B7197" t="str">
        <f t="shared" si="139"/>
        <v>Стекло лобовое</v>
      </c>
      <c r="C7197">
        <v>3</v>
      </c>
      <c r="D7197">
        <v>23583.624</v>
      </c>
    </row>
    <row r="7198" spans="1:4">
      <c r="A7198" t="str">
        <f>"72700-JL00A"</f>
        <v>72700-JL00A</v>
      </c>
      <c r="B7198" t="str">
        <f t="shared" si="139"/>
        <v>Стекло лобовое</v>
      </c>
      <c r="C7198">
        <v>8</v>
      </c>
      <c r="D7198">
        <v>24451.031999999999</v>
      </c>
    </row>
    <row r="7199" spans="1:4">
      <c r="A7199" t="str">
        <f>"72700-JU42A"</f>
        <v>72700-JU42A</v>
      </c>
      <c r="B7199" t="str">
        <f t="shared" si="139"/>
        <v>Стекло лобовое</v>
      </c>
      <c r="C7199">
        <v>2</v>
      </c>
      <c r="D7199">
        <v>23698.68</v>
      </c>
    </row>
    <row r="7200" spans="1:4">
      <c r="A7200" t="str">
        <f>"72700-ZQ50A"</f>
        <v>72700-ZQ50A</v>
      </c>
      <c r="B7200" t="str">
        <f t="shared" si="139"/>
        <v>Стекло лобовое</v>
      </c>
      <c r="C7200">
        <v>2</v>
      </c>
      <c r="D7200">
        <v>10370.951999999999</v>
      </c>
    </row>
    <row r="7201" spans="1:4">
      <c r="A7201" t="str">
        <f>"72700-ZQ50B"</f>
        <v>72700-ZQ50B</v>
      </c>
      <c r="B7201" t="str">
        <f t="shared" si="139"/>
        <v>Стекло лобовое</v>
      </c>
      <c r="C7201">
        <v>3</v>
      </c>
      <c r="D7201">
        <v>9918.0719999999983</v>
      </c>
    </row>
    <row r="7202" spans="1:4">
      <c r="A7202" t="str">
        <f>"72712-2X000"</f>
        <v>72712-2X000</v>
      </c>
      <c r="B7202" t="str">
        <f>"GLASS-WINDSHIEL"</f>
        <v>GLASS-WINDSHIEL</v>
      </c>
      <c r="C7202">
        <v>1</v>
      </c>
      <c r="D7202">
        <v>6741.3839999999991</v>
      </c>
    </row>
    <row r="7203" spans="1:4">
      <c r="A7203" t="str">
        <f>"72712-CG000"</f>
        <v>72712-CG000</v>
      </c>
      <c r="B7203" t="str">
        <f>"GLASS-WINDSHIEL"</f>
        <v>GLASS-WINDSHIEL</v>
      </c>
      <c r="C7203">
        <v>6</v>
      </c>
      <c r="D7203">
        <v>26318.856</v>
      </c>
    </row>
    <row r="7204" spans="1:4">
      <c r="A7204" t="str">
        <f>"72712-CL000"</f>
        <v>72712-CL000</v>
      </c>
      <c r="B7204" t="str">
        <f>"GLASS-WINDSHIEL"</f>
        <v>GLASS-WINDSHIEL</v>
      </c>
      <c r="C7204">
        <v>2</v>
      </c>
      <c r="D7204">
        <v>22440</v>
      </c>
    </row>
    <row r="7205" spans="1:4">
      <c r="A7205" t="str">
        <f>"72712-CL70A"</f>
        <v>72712-CL70A</v>
      </c>
      <c r="B7205" t="str">
        <f>"Стекло лобовое"</f>
        <v>Стекло лобовое</v>
      </c>
      <c r="C7205">
        <v>12</v>
      </c>
      <c r="D7205">
        <v>26311.919999999998</v>
      </c>
    </row>
    <row r="7206" spans="1:4">
      <c r="A7206" t="str">
        <f>"72714-0P005"</f>
        <v>72714-0P005</v>
      </c>
      <c r="B7206" t="str">
        <f>"SPACER GLASS A"</f>
        <v>SPACER GLASS A</v>
      </c>
      <c r="C7206">
        <v>15</v>
      </c>
      <c r="D7206">
        <v>117.91200000000001</v>
      </c>
    </row>
    <row r="7207" spans="1:4">
      <c r="A7207" t="str">
        <f>"72714-2U000"</f>
        <v>72714-2U000</v>
      </c>
      <c r="B7207" t="str">
        <f>"Пистон лобового стек"</f>
        <v>Пистон лобового стек</v>
      </c>
      <c r="C7207">
        <v>2</v>
      </c>
      <c r="D7207">
        <v>123.21600000000001</v>
      </c>
    </row>
    <row r="7208" spans="1:4">
      <c r="A7208" t="str">
        <f>"72714-AD000"</f>
        <v>72714-AD000</v>
      </c>
      <c r="B7208" t="str">
        <f>"SPACER GLASS A"</f>
        <v>SPACER GLASS A</v>
      </c>
      <c r="C7208">
        <v>6</v>
      </c>
      <c r="D7208">
        <v>99.96</v>
      </c>
    </row>
    <row r="7209" spans="1:4">
      <c r="A7209" t="str">
        <f>"72714-EN00A"</f>
        <v>72714-EN00A</v>
      </c>
      <c r="B7209" t="str">
        <f>"Пистон лобового стек"</f>
        <v>Пистон лобового стек</v>
      </c>
      <c r="C7209">
        <v>14</v>
      </c>
      <c r="D7209">
        <v>121.58399999999999</v>
      </c>
    </row>
    <row r="7210" spans="1:4">
      <c r="A7210" t="str">
        <f>"72714-ZQ00A"</f>
        <v>72714-ZQ00A</v>
      </c>
      <c r="B7210" t="str">
        <f>"Держатель лобового с"</f>
        <v>Держатель лобового с</v>
      </c>
      <c r="C7210">
        <v>0</v>
      </c>
      <c r="D7210">
        <v>105.672</v>
      </c>
    </row>
    <row r="7211" spans="1:4">
      <c r="A7211" t="str">
        <f>"72716-EL000"</f>
        <v>72716-EL000</v>
      </c>
      <c r="B7211" t="str">
        <f>"Уплотнитель лобового"</f>
        <v>Уплотнитель лобового</v>
      </c>
      <c r="C7211">
        <v>7</v>
      </c>
      <c r="D7211">
        <v>501.02399999999994</v>
      </c>
    </row>
    <row r="7212" spans="1:4">
      <c r="A7212" t="str">
        <f>"72717-CG000"</f>
        <v>72717-CG000</v>
      </c>
      <c r="B7212" t="str">
        <f>"INSULATOR"</f>
        <v>INSULATOR</v>
      </c>
      <c r="C7212">
        <v>14</v>
      </c>
      <c r="D7212">
        <v>457.77600000000001</v>
      </c>
    </row>
    <row r="7213" spans="1:4">
      <c r="A7213" t="str">
        <f>"72717-CG100"</f>
        <v>72717-CG100</v>
      </c>
      <c r="B7213" t="str">
        <f>"INSULATOR"</f>
        <v>INSULATOR</v>
      </c>
      <c r="C7213">
        <v>12</v>
      </c>
      <c r="D7213">
        <v>117.09599999999999</v>
      </c>
    </row>
    <row r="7214" spans="1:4">
      <c r="A7214" t="str">
        <f>"72717-EB30A"</f>
        <v>72717-EB30A</v>
      </c>
      <c r="B7214" t="str">
        <f>"Уплотнитель лобового"</f>
        <v>Уплотнитель лобового</v>
      </c>
      <c r="C7214">
        <v>14</v>
      </c>
      <c r="D7214">
        <v>685.84799999999996</v>
      </c>
    </row>
    <row r="7215" spans="1:4">
      <c r="A7215" t="str">
        <f>"72717-JK00A"</f>
        <v>72717-JK00A</v>
      </c>
      <c r="B7215" t="str">
        <f>"Уплотнитель лобового"</f>
        <v>Уплотнитель лобового</v>
      </c>
      <c r="C7215">
        <v>6</v>
      </c>
      <c r="D7215">
        <v>428.4</v>
      </c>
    </row>
    <row r="7216" spans="1:4">
      <c r="A7216" t="str">
        <f>"72717-VC000"</f>
        <v>72717-VC000</v>
      </c>
      <c r="B7216" t="str">
        <f>"INSULATOR"</f>
        <v>INSULATOR</v>
      </c>
      <c r="C7216">
        <v>9</v>
      </c>
      <c r="D7216">
        <v>397.392</v>
      </c>
    </row>
    <row r="7217" spans="1:4">
      <c r="A7217" t="str">
        <f>"72725-0F000"</f>
        <v>72725-0F000</v>
      </c>
      <c r="B7217" t="str">
        <f>"FASTENER-MOULDI"</f>
        <v>FASTENER-MOULDI</v>
      </c>
      <c r="C7217">
        <v>2</v>
      </c>
      <c r="D7217">
        <v>838.03200000000004</v>
      </c>
    </row>
    <row r="7218" spans="1:4">
      <c r="A7218" t="str">
        <f>"72725-0N010"</f>
        <v>72725-0N010</v>
      </c>
      <c r="B7218" t="str">
        <f>"FASTENER-MOULDI"</f>
        <v>FASTENER-MOULDI</v>
      </c>
      <c r="C7218">
        <v>5</v>
      </c>
      <c r="D7218">
        <v>414.12</v>
      </c>
    </row>
    <row r="7219" spans="1:4">
      <c r="A7219" t="str">
        <f>"72725-0W000"</f>
        <v>72725-0W000</v>
      </c>
      <c r="B7219" t="str">
        <f>"FASTENER-MOUL"</f>
        <v>FASTENER-MOUL</v>
      </c>
      <c r="C7219">
        <v>0</v>
      </c>
      <c r="D7219">
        <v>855.16800000000001</v>
      </c>
    </row>
    <row r="7220" spans="1:4">
      <c r="A7220" t="str">
        <f>"72725-1AN0A"</f>
        <v>72725-1AN0A</v>
      </c>
      <c r="B7220" t="str">
        <f>"Замок молдинга стекл"</f>
        <v>Замок молдинга стекл</v>
      </c>
      <c r="C7220">
        <v>31</v>
      </c>
      <c r="D7220">
        <v>802.94399999999996</v>
      </c>
    </row>
    <row r="7221" spans="1:4">
      <c r="A7221" t="str">
        <f>"72725-1LA0A"</f>
        <v>72725-1LA0A</v>
      </c>
      <c r="B7221" t="str">
        <f>"Молдинг лобового сте"</f>
        <v>Молдинг лобового сте</v>
      </c>
      <c r="C7221">
        <v>0</v>
      </c>
      <c r="D7221">
        <v>1073.04</v>
      </c>
    </row>
    <row r="7222" spans="1:4">
      <c r="A7222" t="str">
        <f>"72725-2J010"</f>
        <v>72725-2J010</v>
      </c>
      <c r="B7222" t="str">
        <f>"FASTENER-MOUL"</f>
        <v>FASTENER-MOUL</v>
      </c>
      <c r="C7222">
        <v>0</v>
      </c>
      <c r="D7222">
        <v>661.36799999999994</v>
      </c>
    </row>
    <row r="7223" spans="1:4">
      <c r="A7223" t="str">
        <f>"72725-2Y000"</f>
        <v>72725-2Y000</v>
      </c>
      <c r="B7223" t="str">
        <f>"FASTENER-MOUL"</f>
        <v>FASTENER-MOUL</v>
      </c>
      <c r="C7223">
        <v>7</v>
      </c>
      <c r="D7223">
        <v>834.76799999999992</v>
      </c>
    </row>
    <row r="7224" spans="1:4">
      <c r="A7224" t="str">
        <f>"72725-40U20"</f>
        <v>72725-40U20</v>
      </c>
      <c r="B7224" t="str">
        <f>"FASTENER-MOUL"</f>
        <v>FASTENER-MOUL</v>
      </c>
      <c r="C7224">
        <v>4</v>
      </c>
      <c r="D7224">
        <v>921.26400000000001</v>
      </c>
    </row>
    <row r="7225" spans="1:4">
      <c r="A7225" t="str">
        <f>"72725-50J00"</f>
        <v>72725-50J00</v>
      </c>
      <c r="B7225" t="str">
        <f>"FASTENER-MOUL"</f>
        <v>FASTENER-MOUL</v>
      </c>
      <c r="C7225">
        <v>2</v>
      </c>
      <c r="D7225">
        <v>682.58400000000006</v>
      </c>
    </row>
    <row r="7226" spans="1:4">
      <c r="A7226" t="str">
        <f>"72725-CA010"</f>
        <v>72725-CA010</v>
      </c>
      <c r="B7226" t="str">
        <f>"FASTENER-MOUL"</f>
        <v>FASTENER-MOUL</v>
      </c>
      <c r="C7226">
        <v>9</v>
      </c>
      <c r="D7226">
        <v>705.84</v>
      </c>
    </row>
    <row r="7227" spans="1:4">
      <c r="A7227" t="str">
        <f>"72725-JN20A"</f>
        <v>72725-JN20A</v>
      </c>
      <c r="B7227" t="str">
        <f>"Замок молдинга стекл"</f>
        <v>Замок молдинга стекл</v>
      </c>
      <c r="C7227">
        <v>48</v>
      </c>
      <c r="D7227">
        <v>408</v>
      </c>
    </row>
    <row r="7228" spans="1:4">
      <c r="A7228" t="str">
        <f>"72725-VB000"</f>
        <v>72725-VB000</v>
      </c>
      <c r="B7228" t="str">
        <f>"FASTENER-MOUL"</f>
        <v>FASTENER-MOUL</v>
      </c>
      <c r="C7228">
        <v>13</v>
      </c>
      <c r="D7228">
        <v>1008.1679999999999</v>
      </c>
    </row>
    <row r="7229" spans="1:4">
      <c r="A7229" t="str">
        <f>"72726-EG000"</f>
        <v>72726-EG000</v>
      </c>
      <c r="B7229" t="str">
        <f>"Замок молдинга стекл"</f>
        <v>Замок молдинга стекл</v>
      </c>
      <c r="C7229">
        <v>10</v>
      </c>
      <c r="D7229">
        <v>110.976</v>
      </c>
    </row>
    <row r="7230" spans="1:4">
      <c r="A7230" t="str">
        <f>"72750-1KA0A"</f>
        <v>72750-1KA0A</v>
      </c>
      <c r="B7230" t="str">
        <f>"Молдинг лобового сте"</f>
        <v>Молдинг лобового сте</v>
      </c>
      <c r="C7230">
        <v>6</v>
      </c>
      <c r="D7230">
        <v>1864.152</v>
      </c>
    </row>
    <row r="7231" spans="1:4">
      <c r="A7231" t="str">
        <f>"72750-9U000"</f>
        <v>72750-9U000</v>
      </c>
      <c r="B7231" t="str">
        <f>"Молдинг лобового сте"</f>
        <v>Молдинг лобового сте</v>
      </c>
      <c r="C7231">
        <v>4</v>
      </c>
      <c r="D7231">
        <v>1904.136</v>
      </c>
    </row>
    <row r="7232" spans="1:4">
      <c r="A7232" t="str">
        <f>"72750-AV600"</f>
        <v>72750-AV600</v>
      </c>
      <c r="B7232" t="str">
        <f>"MOULDING SET-WI"</f>
        <v>MOULDING SET-WI</v>
      </c>
      <c r="C7232">
        <v>3</v>
      </c>
      <c r="D7232">
        <v>2076.7199999999998</v>
      </c>
    </row>
    <row r="7233" spans="1:4">
      <c r="A7233" t="str">
        <f>"72750-AX600"</f>
        <v>72750-AX600</v>
      </c>
      <c r="B7233" t="str">
        <f>"MOULDING SET-WI"</f>
        <v>MOULDING SET-WI</v>
      </c>
      <c r="C7233">
        <v>6</v>
      </c>
      <c r="D7233">
        <v>2091.4079999999999</v>
      </c>
    </row>
    <row r="7234" spans="1:4">
      <c r="A7234" t="str">
        <f>"72750-CG000"</f>
        <v>72750-CG000</v>
      </c>
      <c r="B7234" t="str">
        <f>"MOUL-WINDSHIELD"</f>
        <v>MOUL-WINDSHIELD</v>
      </c>
      <c r="C7234">
        <v>16</v>
      </c>
      <c r="D7234">
        <v>2561.424</v>
      </c>
    </row>
    <row r="7235" spans="1:4">
      <c r="A7235" t="str">
        <f>"72750-ED000"</f>
        <v>72750-ED000</v>
      </c>
      <c r="B7235" t="str">
        <f>"Молдинг лобового сте"</f>
        <v>Молдинг лобового сте</v>
      </c>
      <c r="C7235">
        <v>5</v>
      </c>
      <c r="D7235">
        <v>3769.1039999999998</v>
      </c>
    </row>
    <row r="7236" spans="1:4">
      <c r="A7236" t="str">
        <f>"72750-MB40D"</f>
        <v>72750-MB40D</v>
      </c>
      <c r="B7236" t="str">
        <f>"Молдинг лобового сте"</f>
        <v>Молдинг лобового сте</v>
      </c>
      <c r="C7236">
        <v>0</v>
      </c>
      <c r="D7236">
        <v>2341.1039999999998</v>
      </c>
    </row>
    <row r="7237" spans="1:4">
      <c r="A7237" t="str">
        <f>"72750-ZV50A"</f>
        <v>72750-ZV50A</v>
      </c>
      <c r="B7237" t="str">
        <f>"Молдинг лобового сте"</f>
        <v>Молдинг лобового сте</v>
      </c>
      <c r="C7237">
        <v>5</v>
      </c>
      <c r="D7237">
        <v>1716.4560000000001</v>
      </c>
    </row>
    <row r="7238" spans="1:4">
      <c r="A7238" t="str">
        <f>"72751-1LA0A"</f>
        <v>72751-1LA0A</v>
      </c>
      <c r="B7238" t="str">
        <f>"Молдинг лобового сте"</f>
        <v>Молдинг лобового сте</v>
      </c>
      <c r="C7238">
        <v>6</v>
      </c>
      <c r="D7238">
        <v>3021.24</v>
      </c>
    </row>
    <row r="7239" spans="1:4">
      <c r="A7239" t="str">
        <f>"72751-2F000"</f>
        <v>72751-2F000</v>
      </c>
      <c r="B7239" t="str">
        <f>"MOULDING-WINDSH"</f>
        <v>MOULDING-WINDSH</v>
      </c>
      <c r="C7239">
        <v>1</v>
      </c>
      <c r="D7239">
        <v>1155.048</v>
      </c>
    </row>
    <row r="7240" spans="1:4">
      <c r="A7240" t="str">
        <f>"72751-40U00"</f>
        <v>72751-40U00</v>
      </c>
      <c r="B7240" t="str">
        <f>"MLDG WS UPPER"</f>
        <v>MLDG WS UPPER</v>
      </c>
      <c r="C7240">
        <v>2</v>
      </c>
      <c r="D7240">
        <v>906.57600000000002</v>
      </c>
    </row>
    <row r="7241" spans="1:4">
      <c r="A7241" t="str">
        <f>"72751-VB000"</f>
        <v>72751-VB000</v>
      </c>
      <c r="B7241" t="str">
        <f>"MOULDING-WINDSH"</f>
        <v>MOULDING-WINDSH</v>
      </c>
      <c r="C7241">
        <v>2</v>
      </c>
      <c r="D7241">
        <v>1989.4079999999999</v>
      </c>
    </row>
    <row r="7242" spans="1:4">
      <c r="A7242" t="str">
        <f>"72751-VC300"</f>
        <v>72751-VC300</v>
      </c>
      <c r="B7242" t="str">
        <f>"MOULDING-WINDSH"</f>
        <v>MOULDING-WINDSH</v>
      </c>
      <c r="C7242">
        <v>5</v>
      </c>
      <c r="D7242">
        <v>2004.5039999999999</v>
      </c>
    </row>
    <row r="7243" spans="1:4">
      <c r="A7243" t="str">
        <f>"72751-VC700"</f>
        <v>72751-VC700</v>
      </c>
      <c r="B7243" t="str">
        <f>"MOULDING-WINDSH"</f>
        <v>MOULDING-WINDSH</v>
      </c>
      <c r="C7243">
        <v>8</v>
      </c>
      <c r="D7243">
        <v>1888.6319999999998</v>
      </c>
    </row>
    <row r="7244" spans="1:4">
      <c r="A7244" t="str">
        <f>"72752-0N000"</f>
        <v>72752-0N000</v>
      </c>
      <c r="B7244" t="str">
        <f>"MLDG WS UPPER"</f>
        <v>MLDG WS UPPER</v>
      </c>
      <c r="C7244">
        <v>3</v>
      </c>
      <c r="D7244">
        <v>947.37599999999998</v>
      </c>
    </row>
    <row r="7245" spans="1:4">
      <c r="A7245" t="str">
        <f>"72752-0W001"</f>
        <v>72752-0W001</v>
      </c>
      <c r="B7245" t="str">
        <f>"MLDG WS UPPER"</f>
        <v>MLDG WS UPPER</v>
      </c>
      <c r="C7245">
        <v>2</v>
      </c>
      <c r="D7245">
        <v>684.21599999999989</v>
      </c>
    </row>
    <row r="7246" spans="1:4">
      <c r="A7246" t="str">
        <f>"72752-1AA0A"</f>
        <v>72752-1AA0A</v>
      </c>
      <c r="B7246" t="str">
        <f>"Молдинг лобового сте"</f>
        <v>Молдинг лобового сте</v>
      </c>
      <c r="C7246">
        <v>2</v>
      </c>
      <c r="D7246">
        <v>665.44799999999998</v>
      </c>
    </row>
    <row r="7247" spans="1:4">
      <c r="A7247" t="str">
        <f>"72752-1CA0A"</f>
        <v>72752-1CA0A</v>
      </c>
      <c r="B7247" t="str">
        <f>"Молдинг лобового сте"</f>
        <v>Молдинг лобового сте</v>
      </c>
      <c r="C7247">
        <v>0</v>
      </c>
      <c r="D7247">
        <v>1409.64</v>
      </c>
    </row>
    <row r="7248" spans="1:4">
      <c r="A7248" t="str">
        <f>"72752-2Y000"</f>
        <v>72752-2Y000</v>
      </c>
      <c r="B7248" t="str">
        <f>"MLDG WS UPPER"</f>
        <v>MLDG WS UPPER</v>
      </c>
      <c r="C7248">
        <v>9</v>
      </c>
      <c r="D7248">
        <v>698.08799999999997</v>
      </c>
    </row>
    <row r="7249" spans="1:4">
      <c r="A7249" t="str">
        <f>"72752-4M715"</f>
        <v>72752-4M715</v>
      </c>
      <c r="B7249" t="str">
        <f>"MLDG WS UPPER"</f>
        <v>MLDG WS UPPER</v>
      </c>
      <c r="C7249">
        <v>2</v>
      </c>
      <c r="D7249">
        <v>1201.9679999999998</v>
      </c>
    </row>
    <row r="7250" spans="1:4">
      <c r="A7250" t="str">
        <f>"72752-8H300"</f>
        <v>72752-8H300</v>
      </c>
      <c r="B7250" t="str">
        <f>"MLDG WS UPPER"</f>
        <v>MLDG WS UPPER</v>
      </c>
      <c r="C7250">
        <v>28</v>
      </c>
      <c r="D7250">
        <v>2159.9519999999998</v>
      </c>
    </row>
    <row r="7251" spans="1:4">
      <c r="A7251" t="str">
        <f>"72752-90J00"</f>
        <v>72752-90J00</v>
      </c>
      <c r="B7251" t="str">
        <f>"MOULDING-WINDSH"</f>
        <v>MOULDING-WINDSH</v>
      </c>
      <c r="C7251">
        <v>4</v>
      </c>
      <c r="D7251">
        <v>1098.7439999999999</v>
      </c>
    </row>
    <row r="7252" spans="1:4">
      <c r="A7252" t="str">
        <f>"72752-95F0A"</f>
        <v>72752-95F0A</v>
      </c>
      <c r="B7252" t="str">
        <f>"Молдинг лобового сте"</f>
        <v>Молдинг лобового сте</v>
      </c>
      <c r="C7252">
        <v>52</v>
      </c>
      <c r="D7252">
        <v>979.19999999999993</v>
      </c>
    </row>
    <row r="7253" spans="1:4">
      <c r="A7253" t="str">
        <f>"72752-9Y000"</f>
        <v>72752-9Y000</v>
      </c>
      <c r="B7253" t="str">
        <f>"Молдинг лобового сте"</f>
        <v>Молдинг лобового сте</v>
      </c>
      <c r="C7253">
        <v>16</v>
      </c>
      <c r="D7253">
        <v>880.87199999999996</v>
      </c>
    </row>
    <row r="7254" spans="1:4">
      <c r="A7254" t="str">
        <f>"72752-BM400"</f>
        <v>72752-BM400</v>
      </c>
      <c r="B7254" t="str">
        <f>"MOULDING-WINDSH"</f>
        <v>MOULDING-WINDSH</v>
      </c>
      <c r="C7254">
        <v>1</v>
      </c>
      <c r="D7254">
        <v>1531.2239999999999</v>
      </c>
    </row>
    <row r="7255" spans="1:4">
      <c r="A7255" t="str">
        <f>"72752-CA000"</f>
        <v>72752-CA000</v>
      </c>
      <c r="B7255" t="str">
        <f>"MOULDING-WINDSH"</f>
        <v>MOULDING-WINDSH</v>
      </c>
      <c r="C7255">
        <v>5</v>
      </c>
      <c r="D7255">
        <v>673.60800000000006</v>
      </c>
    </row>
    <row r="7256" spans="1:4">
      <c r="A7256" t="str">
        <f>"72752-EG000"</f>
        <v>72752-EG000</v>
      </c>
      <c r="B7256" t="str">
        <f>"Молдинг лобового сте"</f>
        <v>Молдинг лобового сте</v>
      </c>
      <c r="C7256">
        <v>1</v>
      </c>
      <c r="D7256">
        <v>572.01599999999996</v>
      </c>
    </row>
    <row r="7257" spans="1:4">
      <c r="A7257" t="str">
        <f>"72752-JD000"</f>
        <v>72752-JD000</v>
      </c>
      <c r="B7257" t="str">
        <f>"Молдинг лобового сте"</f>
        <v>Молдинг лобового сте</v>
      </c>
      <c r="C7257">
        <v>7</v>
      </c>
      <c r="D7257">
        <v>2917.6080000000002</v>
      </c>
    </row>
    <row r="7258" spans="1:4">
      <c r="A7258" t="str">
        <f>"72752-JD010"</f>
        <v>72752-JD010</v>
      </c>
      <c r="B7258" t="str">
        <f>"Молдинг лобового сте"</f>
        <v>Молдинг лобового сте</v>
      </c>
      <c r="C7258">
        <v>2</v>
      </c>
      <c r="D7258">
        <v>2674.0320000000002</v>
      </c>
    </row>
    <row r="7259" spans="1:4">
      <c r="A7259" t="str">
        <f>"72752-JG000"</f>
        <v>72752-JG000</v>
      </c>
      <c r="B7259" t="str">
        <f>"Молдинг лобового сте"</f>
        <v>Молдинг лобового сте</v>
      </c>
      <c r="C7259">
        <v>1</v>
      </c>
      <c r="D7259">
        <v>2081.616</v>
      </c>
    </row>
    <row r="7260" spans="1:4">
      <c r="A7260" t="str">
        <f>"72752-JN00A"</f>
        <v>72752-JN00A</v>
      </c>
      <c r="B7260" t="str">
        <f>"Молдинг лобового сте"</f>
        <v>Молдинг лобового сте</v>
      </c>
      <c r="C7260">
        <v>11</v>
      </c>
      <c r="D7260">
        <v>1073.4479999999999</v>
      </c>
    </row>
    <row r="7261" spans="1:4">
      <c r="A7261" t="str">
        <f>"72752-VJ200"</f>
        <v>72752-VJ200</v>
      </c>
      <c r="B7261" t="str">
        <f>"MOULDING-WINDSH"</f>
        <v>MOULDING-WINDSH</v>
      </c>
      <c r="C7261">
        <v>4</v>
      </c>
      <c r="D7261">
        <v>711.95999999999992</v>
      </c>
    </row>
    <row r="7262" spans="1:4">
      <c r="A7262" t="str">
        <f>"72760-2Y900"</f>
        <v>72760-2Y900</v>
      </c>
      <c r="B7262" t="str">
        <f>"MLDG ASSY-FR PL"</f>
        <v>MLDG ASSY-FR PL</v>
      </c>
      <c r="C7262">
        <v>0</v>
      </c>
      <c r="D7262">
        <v>1671.9839999999999</v>
      </c>
    </row>
    <row r="7263" spans="1:4">
      <c r="A7263" t="str">
        <f>"72760-BM400"</f>
        <v>72760-BM400</v>
      </c>
      <c r="B7263" t="str">
        <f>"MOULDING-WINDSH"</f>
        <v>MOULDING-WINDSH</v>
      </c>
      <c r="C7263">
        <v>2</v>
      </c>
      <c r="D7263">
        <v>1836</v>
      </c>
    </row>
    <row r="7264" spans="1:4">
      <c r="A7264" t="str">
        <f>"72761-2Y900"</f>
        <v>72761-2Y900</v>
      </c>
      <c r="B7264" t="str">
        <f>"MLDG ASSY-FR PL"</f>
        <v>MLDG ASSY-FR PL</v>
      </c>
      <c r="C7264">
        <v>1</v>
      </c>
      <c r="D7264">
        <v>1687.0800000000002</v>
      </c>
    </row>
    <row r="7265" spans="1:4">
      <c r="A7265" t="str">
        <f>"72761-BM400"</f>
        <v>72761-BM400</v>
      </c>
      <c r="B7265" t="str">
        <f>"MOULDING-WINDSH"</f>
        <v>MOULDING-WINDSH</v>
      </c>
      <c r="C7265">
        <v>0</v>
      </c>
      <c r="D7265">
        <v>1624.6560000000002</v>
      </c>
    </row>
    <row r="7266" spans="1:4">
      <c r="A7266" t="str">
        <f>"72762-1AN0A"</f>
        <v>72762-1AN0A</v>
      </c>
      <c r="B7266" t="str">
        <f>"Молдинг лобового сте"</f>
        <v>Молдинг лобового сте</v>
      </c>
      <c r="C7266">
        <v>17</v>
      </c>
      <c r="D7266">
        <v>1901.28</v>
      </c>
    </row>
    <row r="7267" spans="1:4">
      <c r="A7267" t="str">
        <f>"72762-95F0A"</f>
        <v>72762-95F0A</v>
      </c>
      <c r="B7267" t="str">
        <f>"Молдинг лобового сте"</f>
        <v>Молдинг лобового сте</v>
      </c>
      <c r="C7267">
        <v>9</v>
      </c>
      <c r="D7267">
        <v>966.14400000000001</v>
      </c>
    </row>
    <row r="7268" spans="1:4">
      <c r="A7268" t="str">
        <f>"72762-CA01A"</f>
        <v>72762-CA01A</v>
      </c>
      <c r="B7268" t="str">
        <f>"Молдинг лобового сте"</f>
        <v>Молдинг лобового сте</v>
      </c>
      <c r="C7268">
        <v>5</v>
      </c>
      <c r="D7268">
        <v>1448.3999999999999</v>
      </c>
    </row>
    <row r="7269" spans="1:4">
      <c r="A7269" t="str">
        <f>"72763-1AN0A"</f>
        <v>72763-1AN0A</v>
      </c>
      <c r="B7269" t="str">
        <f>"Молдинг лобового сте"</f>
        <v>Молдинг лобового сте</v>
      </c>
      <c r="C7269">
        <v>0</v>
      </c>
      <c r="D7269">
        <v>1871.088</v>
      </c>
    </row>
    <row r="7270" spans="1:4">
      <c r="A7270" t="str">
        <f>"72763-CA01A"</f>
        <v>72763-CA01A</v>
      </c>
      <c r="B7270" t="str">
        <f>"Молдинг лобового сте"</f>
        <v>Молдинг лобового сте</v>
      </c>
      <c r="C7270">
        <v>3</v>
      </c>
      <c r="D7270">
        <v>1526.7359999999999</v>
      </c>
    </row>
    <row r="7271" spans="1:4">
      <c r="A7271" t="str">
        <f>"72774-01F00"</f>
        <v>72774-01F00</v>
      </c>
      <c r="B7271" t="str">
        <f>"GROMMET SCREW"</f>
        <v>GROMMET SCREW</v>
      </c>
      <c r="C7271">
        <v>6</v>
      </c>
      <c r="D7271">
        <v>39.984000000000002</v>
      </c>
    </row>
    <row r="7272" spans="1:4">
      <c r="A7272" t="str">
        <f>"73100-95F0A"</f>
        <v>73100-95F0A</v>
      </c>
      <c r="B7272" t="str">
        <f>"Панель кузова (крыша"</f>
        <v>Панель кузова (крыша</v>
      </c>
      <c r="C7272">
        <v>1</v>
      </c>
      <c r="D7272">
        <v>16152.312</v>
      </c>
    </row>
    <row r="7273" spans="1:4">
      <c r="A7273" t="str">
        <f>"73160-EA500"</f>
        <v>73160-EA500</v>
      </c>
      <c r="B7273" t="str">
        <f>"DECAL-SIDE RAIL"</f>
        <v>DECAL-SIDE RAIL</v>
      </c>
      <c r="C7273">
        <v>8</v>
      </c>
      <c r="D7273">
        <v>350.47199999999998</v>
      </c>
    </row>
    <row r="7274" spans="1:4">
      <c r="A7274" t="str">
        <f>"73256-4M500"</f>
        <v>73256-4M500</v>
      </c>
      <c r="B7274" t="str">
        <f>"REINFORCE ASSY-"</f>
        <v>REINFORCE ASSY-</v>
      </c>
      <c r="C7274">
        <v>1</v>
      </c>
      <c r="D7274">
        <v>1899.24</v>
      </c>
    </row>
    <row r="7275" spans="1:4">
      <c r="A7275" t="str">
        <f>"73807-EA500"</f>
        <v>73807-EA500</v>
      </c>
      <c r="B7275" t="str">
        <f>"ПОПЕРЕЧИНА БАГ"</f>
        <v>ПОПЕРЕЧИНА БАГ</v>
      </c>
      <c r="C7275">
        <v>1</v>
      </c>
      <c r="D7275">
        <v>3655.68</v>
      </c>
    </row>
    <row r="7276" spans="1:4">
      <c r="A7276" t="str">
        <f>"73830-ZL20B"</f>
        <v>73830-ZL20B</v>
      </c>
      <c r="B7276" t="str">
        <f>"Заглушка"</f>
        <v>Заглушка</v>
      </c>
      <c r="C7276">
        <v>2</v>
      </c>
      <c r="D7276">
        <v>933.096</v>
      </c>
    </row>
    <row r="7277" spans="1:4">
      <c r="A7277" t="str">
        <f>"73831-ZL20B"</f>
        <v>73831-ZL20B</v>
      </c>
      <c r="B7277" t="str">
        <f>"Облицовка"</f>
        <v>Облицовка</v>
      </c>
      <c r="C7277">
        <v>35</v>
      </c>
      <c r="D7277">
        <v>888.62399999999991</v>
      </c>
    </row>
    <row r="7278" spans="1:4">
      <c r="A7278" t="str">
        <f>"73852-9Y003"</f>
        <v>73852-9Y003</v>
      </c>
      <c r="B7278" t="str">
        <f>"Молдинг крыши"</f>
        <v>Молдинг крыши</v>
      </c>
      <c r="C7278">
        <v>1</v>
      </c>
      <c r="D7278">
        <v>1831.9199999999998</v>
      </c>
    </row>
    <row r="7279" spans="1:4">
      <c r="A7279" t="str">
        <f>"73852-AV600"</f>
        <v>73852-AV600</v>
      </c>
      <c r="B7279" t="str">
        <f>"MOULDING-ROOF D"</f>
        <v>MOULDING-ROOF D</v>
      </c>
      <c r="C7279">
        <v>1</v>
      </c>
      <c r="D7279">
        <v>1683</v>
      </c>
    </row>
    <row r="7280" spans="1:4">
      <c r="A7280" t="str">
        <f>"73852-JN20A"</f>
        <v>73852-JN20A</v>
      </c>
      <c r="B7280" t="str">
        <f>"Молдинг крыши"</f>
        <v>Молдинг крыши</v>
      </c>
      <c r="C7280">
        <v>0</v>
      </c>
      <c r="D7280">
        <v>3620.1840000000002</v>
      </c>
    </row>
    <row r="7281" spans="1:4">
      <c r="A7281" t="str">
        <f>"73853-9Y003"</f>
        <v>73853-9Y003</v>
      </c>
      <c r="B7281" t="str">
        <f>"Молдинг крыши"</f>
        <v>Молдинг крыши</v>
      </c>
      <c r="C7281">
        <v>2</v>
      </c>
      <c r="D7281">
        <v>1643.424</v>
      </c>
    </row>
    <row r="7282" spans="1:4">
      <c r="A7282" t="str">
        <f>"73853-AV600"</f>
        <v>73853-AV600</v>
      </c>
      <c r="B7282" t="str">
        <f>"MOULDING-ROOF D"</f>
        <v>MOULDING-ROOF D</v>
      </c>
      <c r="C7282">
        <v>3</v>
      </c>
      <c r="D7282">
        <v>1703.8079999999998</v>
      </c>
    </row>
    <row r="7283" spans="1:4">
      <c r="A7283" t="str">
        <f>"73853-JN20A"</f>
        <v>73853-JN20A</v>
      </c>
      <c r="B7283" t="str">
        <f>"Молдинг крыши"</f>
        <v>Молдинг крыши</v>
      </c>
      <c r="C7283">
        <v>0</v>
      </c>
      <c r="D7283">
        <v>2117.1120000000001</v>
      </c>
    </row>
    <row r="7284" spans="1:4">
      <c r="A7284" t="str">
        <f>"73856-9Y000"</f>
        <v>73856-9Y000</v>
      </c>
      <c r="B7284" t="str">
        <f>"Держатель молдинга к"</f>
        <v>Держатель молдинга к</v>
      </c>
      <c r="C7284">
        <v>30</v>
      </c>
      <c r="D7284">
        <v>84.86399999999999</v>
      </c>
    </row>
    <row r="7285" spans="1:4">
      <c r="A7285" t="str">
        <f>"73858-AU100"</f>
        <v>73858-AU100</v>
      </c>
      <c r="B7285" t="str">
        <f>"CLIP"</f>
        <v>CLIP</v>
      </c>
      <c r="C7285">
        <v>35</v>
      </c>
      <c r="D7285">
        <v>53.04</v>
      </c>
    </row>
    <row r="7286" spans="1:4">
      <c r="A7286" t="str">
        <f>"73858-JK05A"</f>
        <v>73858-JK05A</v>
      </c>
      <c r="B7286" t="str">
        <f>"Пистон уплотните"</f>
        <v>Пистон уплотните</v>
      </c>
      <c r="C7286">
        <v>4</v>
      </c>
      <c r="D7286">
        <v>183.19199999999998</v>
      </c>
    </row>
    <row r="7287" spans="1:4">
      <c r="A7287" t="str">
        <f>"73870-8H300"</f>
        <v>73870-8H300</v>
      </c>
      <c r="B7287" t="str">
        <f>"END CAP-REAR,RH"</f>
        <v>END CAP-REAR,RH</v>
      </c>
      <c r="C7287">
        <v>1</v>
      </c>
      <c r="D7287">
        <v>932.68799999999999</v>
      </c>
    </row>
    <row r="7288" spans="1:4">
      <c r="A7288" t="str">
        <f>"73871-8H300"</f>
        <v>73871-8H300</v>
      </c>
      <c r="B7288" t="str">
        <f>"END CAP-REAR,LH"</f>
        <v>END CAP-REAR,LH</v>
      </c>
      <c r="C7288">
        <v>0</v>
      </c>
      <c r="D7288">
        <v>910.24799999999993</v>
      </c>
    </row>
    <row r="7289" spans="1:4">
      <c r="A7289" t="str">
        <f>"73871-ZL20B"</f>
        <v>73871-ZL20B</v>
      </c>
      <c r="B7289" t="str">
        <f>"END CAP-REAR.LH"</f>
        <v>END CAP-REAR.LH</v>
      </c>
      <c r="C7289">
        <v>0</v>
      </c>
      <c r="D7289">
        <v>1065.288</v>
      </c>
    </row>
    <row r="7290" spans="1:4">
      <c r="A7290" t="str">
        <f>"73882-CG004"</f>
        <v>73882-CG004</v>
      </c>
      <c r="B7290" t="str">
        <f>"Заглушка рейлинга кр"</f>
        <v>Заглушка рейлинга кр</v>
      </c>
      <c r="C7290">
        <v>5</v>
      </c>
      <c r="D7290">
        <v>500.20799999999997</v>
      </c>
    </row>
    <row r="7291" spans="1:4">
      <c r="A7291" t="str">
        <f>"73882-JG00A"</f>
        <v>73882-JG00A</v>
      </c>
      <c r="B7291" t="str">
        <f>"Облицовка"</f>
        <v>Облицовка</v>
      </c>
      <c r="C7291">
        <v>0</v>
      </c>
      <c r="D7291">
        <v>579.76799999999992</v>
      </c>
    </row>
    <row r="7292" spans="1:4">
      <c r="A7292" t="str">
        <f>"73883-JG00A"</f>
        <v>73883-JG00A</v>
      </c>
      <c r="B7292" t="str">
        <f>"Облицовка"</f>
        <v>Облицовка</v>
      </c>
      <c r="C7292">
        <v>0</v>
      </c>
      <c r="D7292">
        <v>589.55999999999995</v>
      </c>
    </row>
    <row r="7293" spans="1:4">
      <c r="A7293" t="str">
        <f>"73886-8H300"</f>
        <v>73886-8H300</v>
      </c>
      <c r="B7293" t="str">
        <f>"END CAP-REAR,RH"</f>
        <v>END CAP-REAR,RH</v>
      </c>
      <c r="C7293">
        <v>2</v>
      </c>
      <c r="D7293">
        <v>492.45599999999996</v>
      </c>
    </row>
    <row r="7294" spans="1:4">
      <c r="A7294" t="str">
        <f>"73886-JG00A"</f>
        <v>73886-JG00A</v>
      </c>
      <c r="B7294" t="str">
        <f>"END CAP-REAR.RH"</f>
        <v>END CAP-REAR.RH</v>
      </c>
      <c r="C7294">
        <v>0</v>
      </c>
      <c r="D7294">
        <v>582.62399999999991</v>
      </c>
    </row>
    <row r="7295" spans="1:4">
      <c r="A7295" t="str">
        <f>"73887-8H300"</f>
        <v>73887-8H300</v>
      </c>
      <c r="B7295" t="str">
        <f>"END CAP-REAR,LH"</f>
        <v>END CAP-REAR,LH</v>
      </c>
      <c r="C7295">
        <v>1</v>
      </c>
      <c r="D7295">
        <v>490.416</v>
      </c>
    </row>
    <row r="7296" spans="1:4">
      <c r="A7296" t="str">
        <f>"73887-JG00A"</f>
        <v>73887-JG00A</v>
      </c>
      <c r="B7296" t="str">
        <f>"Заглушка релинга кры"</f>
        <v>Заглушка релинга кры</v>
      </c>
      <c r="C7296">
        <v>0</v>
      </c>
      <c r="D7296">
        <v>589.55999999999995</v>
      </c>
    </row>
    <row r="7297" spans="1:4">
      <c r="A7297" t="str">
        <f>"73940-7S040"</f>
        <v>73940-7S040</v>
      </c>
      <c r="B7297" t="str">
        <f>"ASSIST STRAP-FR"</f>
        <v>ASSIST STRAP-FR</v>
      </c>
      <c r="C7297">
        <v>0</v>
      </c>
      <c r="D7297">
        <v>1087.7280000000001</v>
      </c>
    </row>
    <row r="7298" spans="1:4">
      <c r="A7298" t="str">
        <f>"73940-95F0B"</f>
        <v>73940-95F0B</v>
      </c>
      <c r="B7298" t="str">
        <f>"Ручка салона потолоч"</f>
        <v>Ручка салона потолоч</v>
      </c>
      <c r="C7298">
        <v>0</v>
      </c>
      <c r="D7298">
        <v>773.16</v>
      </c>
    </row>
    <row r="7299" spans="1:4">
      <c r="A7299" t="str">
        <f>"73940-95F0D"</f>
        <v>73940-95F0D</v>
      </c>
      <c r="B7299" t="str">
        <f>"Ручка салона потолоч"</f>
        <v>Ручка салона потолоч</v>
      </c>
      <c r="C7299">
        <v>3</v>
      </c>
      <c r="D7299">
        <v>765.40800000000002</v>
      </c>
    </row>
    <row r="7300" spans="1:4">
      <c r="A7300" t="str">
        <f>"73940-JD100"</f>
        <v>73940-JD100</v>
      </c>
      <c r="B7300" t="str">
        <f>"Ручка салона потолоч"</f>
        <v>Ручка салона потолоч</v>
      </c>
      <c r="C7300">
        <v>10</v>
      </c>
      <c r="D7300">
        <v>754.8</v>
      </c>
    </row>
    <row r="7301" spans="1:4">
      <c r="A7301" t="str">
        <f>"73940-VJ20A"</f>
        <v>73940-VJ20A</v>
      </c>
      <c r="B7301" t="str">
        <f>"Ручка салона потолоч"</f>
        <v>Ручка салона потолоч</v>
      </c>
      <c r="C7301">
        <v>2</v>
      </c>
      <c r="D7301">
        <v>534.4799999999999</v>
      </c>
    </row>
    <row r="7302" spans="1:4">
      <c r="A7302" t="str">
        <f>"73948-0F000"</f>
        <v>73948-0F000</v>
      </c>
      <c r="B7302" t="str">
        <f>"ПИСТОН"</f>
        <v>ПИСТОН</v>
      </c>
      <c r="C7302">
        <v>1</v>
      </c>
      <c r="D7302">
        <v>119.136</v>
      </c>
    </row>
    <row r="7303" spans="1:4">
      <c r="A7303" t="str">
        <f>"73998-BM400"</f>
        <v>73998-BM400</v>
      </c>
      <c r="B7303" t="str">
        <f>"CLIP"</f>
        <v>CLIP</v>
      </c>
      <c r="C7303">
        <v>1</v>
      </c>
      <c r="D7303">
        <v>24.479999999999997</v>
      </c>
    </row>
    <row r="7304" spans="1:4">
      <c r="A7304" t="str">
        <f>"74514-8H730"</f>
        <v>74514-8H730</v>
      </c>
      <c r="B7304" t="str">
        <f>"FLOOR-REAR,REAR"</f>
        <v>FLOOR-REAR,REAR</v>
      </c>
      <c r="C7304">
        <v>2</v>
      </c>
      <c r="D7304">
        <v>14505.216</v>
      </c>
    </row>
    <row r="7305" spans="1:4">
      <c r="A7305" t="str">
        <f>"74514-95F0B"</f>
        <v>74514-95F0B</v>
      </c>
      <c r="B7305" t="str">
        <f>"Панель кузова (пол б"</f>
        <v>Панель кузова (пол б</v>
      </c>
      <c r="C7305">
        <v>0</v>
      </c>
      <c r="D7305">
        <v>10550.88</v>
      </c>
    </row>
    <row r="7306" spans="1:4">
      <c r="A7306" t="str">
        <f>"74530-4Y900"</f>
        <v>74530-4Y900</v>
      </c>
      <c r="B7306" t="str">
        <f>"FLOOR-RR,RR SID"</f>
        <v>FLOOR-RR,RR SID</v>
      </c>
      <c r="C7306">
        <v>2</v>
      </c>
      <c r="D7306">
        <v>1510.0079999999998</v>
      </c>
    </row>
    <row r="7307" spans="1:4">
      <c r="A7307" t="str">
        <f>"74530-JG40A"</f>
        <v>74530-JG40A</v>
      </c>
      <c r="B7307" t="str">
        <f>"Панель кузова"</f>
        <v>Панель кузова</v>
      </c>
      <c r="C7307">
        <v>0</v>
      </c>
      <c r="D7307">
        <v>3675.2639999999997</v>
      </c>
    </row>
    <row r="7308" spans="1:4">
      <c r="A7308" t="str">
        <f>"74531-JG40A"</f>
        <v>74531-JG40A</v>
      </c>
      <c r="B7308" t="str">
        <f>"FLOOR-REAR.REAR"</f>
        <v>FLOOR-REAR.REAR</v>
      </c>
      <c r="C7308">
        <v>0</v>
      </c>
      <c r="D7308">
        <v>3032.2559999999999</v>
      </c>
    </row>
    <row r="7309" spans="1:4">
      <c r="A7309" t="str">
        <f>"74588-4M400"</f>
        <v>74588-4M400</v>
      </c>
      <c r="B7309" t="str">
        <f>"BRACKET-SPARE T"</f>
        <v>BRACKET-SPARE T</v>
      </c>
      <c r="C7309">
        <v>2</v>
      </c>
      <c r="D7309">
        <v>470.42399999999998</v>
      </c>
    </row>
    <row r="7310" spans="1:4">
      <c r="A7310" t="str">
        <f>"74772-8H300"</f>
        <v>74772-8H300</v>
      </c>
      <c r="B7310" t="str">
        <f>"INSULATOR-HEAT"</f>
        <v>INSULATOR-HEAT</v>
      </c>
      <c r="C7310">
        <v>3</v>
      </c>
      <c r="D7310">
        <v>1428.4079999999999</v>
      </c>
    </row>
    <row r="7311" spans="1:4">
      <c r="A7311" t="str">
        <f>"74772-JD00A"</f>
        <v>74772-JD00A</v>
      </c>
      <c r="B7311" t="str">
        <f>"Кожух топливного бак"</f>
        <v>Кожух топливного бак</v>
      </c>
      <c r="C7311">
        <v>0</v>
      </c>
      <c r="D7311">
        <v>1465.9439999999997</v>
      </c>
    </row>
    <row r="7312" spans="1:4">
      <c r="A7312" t="str">
        <f>"74776-EY10A"</f>
        <v>74776-EY10A</v>
      </c>
      <c r="B7312" t="str">
        <f>"Кожух колесной а"</f>
        <v>Кожух колесной а</v>
      </c>
      <c r="C7312">
        <v>0</v>
      </c>
      <c r="D7312">
        <v>1109.3520000000001</v>
      </c>
    </row>
    <row r="7313" spans="1:4">
      <c r="A7313" t="str">
        <f>"74776-JD00A"</f>
        <v>74776-JD00A</v>
      </c>
      <c r="B7313" t="str">
        <f>"Кожух колесной а"</f>
        <v>Кожух колесной а</v>
      </c>
      <c r="C7313">
        <v>5</v>
      </c>
      <c r="D7313">
        <v>675.24</v>
      </c>
    </row>
    <row r="7314" spans="1:4">
      <c r="A7314" t="str">
        <f>"74776-JH10B"</f>
        <v>74776-JH10B</v>
      </c>
      <c r="B7314" t="str">
        <f>"Кожух колесной а"</f>
        <v>Кожух колесной а</v>
      </c>
      <c r="C7314">
        <v>0</v>
      </c>
      <c r="D7314">
        <v>1144.848</v>
      </c>
    </row>
    <row r="7315" spans="1:4">
      <c r="A7315" t="str">
        <f>"74777-EY10A"</f>
        <v>74777-EY10A</v>
      </c>
      <c r="B7315" t="str">
        <f>"Кожух колесной а"</f>
        <v>Кожух колесной а</v>
      </c>
      <c r="C7315">
        <v>0</v>
      </c>
      <c r="D7315">
        <v>1109.3520000000001</v>
      </c>
    </row>
    <row r="7316" spans="1:4">
      <c r="A7316" t="str">
        <f>"74777-JD00A"</f>
        <v>74777-JD00A</v>
      </c>
      <c r="B7316" t="str">
        <f>"Кожух колесной а"</f>
        <v>Кожух колесной а</v>
      </c>
      <c r="C7316">
        <v>0</v>
      </c>
      <c r="D7316">
        <v>671.56799999999998</v>
      </c>
    </row>
    <row r="7317" spans="1:4">
      <c r="A7317" t="str">
        <f>"74779-JD01A"</f>
        <v>74779-JD01A</v>
      </c>
      <c r="B7317" t="str">
        <f>"Заглушка поролоновая"</f>
        <v>Заглушка поролоновая</v>
      </c>
      <c r="C7317">
        <v>0</v>
      </c>
      <c r="D7317">
        <v>607.91999999999996</v>
      </c>
    </row>
    <row r="7318" spans="1:4">
      <c r="A7318" t="str">
        <f>"74812-CG000"</f>
        <v>74812-CG000</v>
      </c>
      <c r="B7318" t="str">
        <f>"COVER-FLOOR RH"</f>
        <v>COVER-FLOOR RH</v>
      </c>
      <c r="C7318">
        <v>0</v>
      </c>
      <c r="D7318">
        <v>2710.752</v>
      </c>
    </row>
    <row r="7319" spans="1:4">
      <c r="A7319" t="str">
        <f>"74813-CG000"</f>
        <v>74813-CG000</v>
      </c>
      <c r="B7319" t="str">
        <f>"COVER-FR UNDER"</f>
        <v>COVER-FR UNDER</v>
      </c>
      <c r="C7319">
        <v>2</v>
      </c>
      <c r="D7319">
        <v>2711.5679999999998</v>
      </c>
    </row>
    <row r="7320" spans="1:4">
      <c r="A7320" t="str">
        <f>"74814-JG00A"</f>
        <v>74814-JG00A</v>
      </c>
      <c r="B7320" t="str">
        <f>"Кожух моторного отсе"</f>
        <v>Кожух моторного отсе</v>
      </c>
      <c r="C7320">
        <v>6</v>
      </c>
      <c r="D7320">
        <v>647.90399999999988</v>
      </c>
    </row>
    <row r="7321" spans="1:4">
      <c r="A7321" t="str">
        <f>"74815-JD00A"</f>
        <v>74815-JD00A</v>
      </c>
      <c r="B7321" t="str">
        <f>"Заглушка"</f>
        <v>Заглушка</v>
      </c>
      <c r="C7321">
        <v>1</v>
      </c>
      <c r="D7321">
        <v>1259.088</v>
      </c>
    </row>
    <row r="7322" spans="1:4">
      <c r="A7322" t="str">
        <f>"74815-JG00A"</f>
        <v>74815-JG00A</v>
      </c>
      <c r="B7322" t="str">
        <f>"Кожух пола кузов"</f>
        <v>Кожух пола кузов</v>
      </c>
      <c r="C7322">
        <v>0</v>
      </c>
      <c r="D7322">
        <v>640.55999999999995</v>
      </c>
    </row>
    <row r="7323" spans="1:4">
      <c r="A7323" t="str">
        <f>"74816-AL500"</f>
        <v>74816-AL500</v>
      </c>
      <c r="B7323" t="str">
        <f>"PLUG"</f>
        <v>PLUG</v>
      </c>
      <c r="C7323">
        <v>18</v>
      </c>
      <c r="D7323">
        <v>57.12</v>
      </c>
    </row>
    <row r="7324" spans="1:4">
      <c r="A7324" t="str">
        <f>"74871-AU000"</f>
        <v>74871-AU000</v>
      </c>
      <c r="B7324" t="str">
        <f>"STAY ASSY"</f>
        <v>STAY ASSY</v>
      </c>
      <c r="C7324">
        <v>3</v>
      </c>
      <c r="D7324">
        <v>1855.992</v>
      </c>
    </row>
    <row r="7325" spans="1:4">
      <c r="A7325" t="str">
        <f>"74932-8H420"</f>
        <v>74932-8H420</v>
      </c>
      <c r="B7325" t="str">
        <f>"HOOK ASSY-ROPE"</f>
        <v>HOOK ASSY-ROPE</v>
      </c>
      <c r="C7325">
        <v>2</v>
      </c>
      <c r="D7325">
        <v>252.96</v>
      </c>
    </row>
    <row r="7326" spans="1:4">
      <c r="A7326" t="str">
        <f>"74985-40U00"</f>
        <v>74985-40U00</v>
      </c>
      <c r="B7326" t="str">
        <f>"Кронштейн обшивки по"</f>
        <v>Кронштейн обшивки по</v>
      </c>
      <c r="C7326">
        <v>30</v>
      </c>
      <c r="D7326">
        <v>126.48</v>
      </c>
    </row>
    <row r="7327" spans="1:4">
      <c r="A7327" t="str">
        <f>"74985-EH10B"</f>
        <v>74985-EH10B</v>
      </c>
      <c r="B7327" t="str">
        <f>"Кронштейн обшивк"</f>
        <v>Кронштейн обшивк</v>
      </c>
      <c r="C7327">
        <v>3</v>
      </c>
      <c r="D7327">
        <v>122.80799999999999</v>
      </c>
    </row>
    <row r="7328" spans="1:4">
      <c r="A7328" t="str">
        <f>"75114-ED00A"</f>
        <v>75114-ED00A</v>
      </c>
      <c r="B7328" t="str">
        <f>"Кронштейн переднего "</f>
        <v xml:space="preserve">Кронштейн переднего </v>
      </c>
      <c r="C7328">
        <v>1</v>
      </c>
      <c r="D7328">
        <v>2539.3919999999998</v>
      </c>
    </row>
    <row r="7329" spans="1:4">
      <c r="A7329" t="str">
        <f>"75114-EL030"</f>
        <v>75114-EL030</v>
      </c>
      <c r="B7329" t="str">
        <f>"Кронштейн лонжер"</f>
        <v>Кронштейн лонжер</v>
      </c>
      <c r="C7329">
        <v>8</v>
      </c>
      <c r="D7329">
        <v>3559.7999999999997</v>
      </c>
    </row>
    <row r="7330" spans="1:4">
      <c r="A7330" t="str">
        <f>"75115-9U00A"</f>
        <v>75115-9U00A</v>
      </c>
      <c r="B7330" t="str">
        <f>"Кронштейн лонжер"</f>
        <v>Кронштейн лонжер</v>
      </c>
      <c r="C7330">
        <v>10</v>
      </c>
      <c r="D7330">
        <v>3567.1439999999998</v>
      </c>
    </row>
    <row r="7331" spans="1:4">
      <c r="A7331" t="str">
        <f>"751F0-EL030"</f>
        <v>751F0-EL030</v>
      </c>
      <c r="B7331" t="str">
        <f>"Кронштейн лонжер"</f>
        <v>Кронштейн лонжер</v>
      </c>
      <c r="C7331">
        <v>5</v>
      </c>
      <c r="D7331">
        <v>1726.2479999999998</v>
      </c>
    </row>
    <row r="7332" spans="1:4">
      <c r="A7332" t="str">
        <f>"75510-5M235"</f>
        <v>75510-5M235</v>
      </c>
      <c r="B7332" t="str">
        <f>"MEMBER-SIDE,REA"</f>
        <v>MEMBER-SIDE,REA</v>
      </c>
      <c r="C7332">
        <v>1</v>
      </c>
      <c r="D7332">
        <v>7597.3680000000004</v>
      </c>
    </row>
    <row r="7333" spans="1:4">
      <c r="A7333" t="str">
        <f>"75510-AX630"</f>
        <v>75510-AX630</v>
      </c>
      <c r="B7333" t="str">
        <f>"MEMBER-SIDE,REA"</f>
        <v>MEMBER-SIDE,REA</v>
      </c>
      <c r="C7333">
        <v>1</v>
      </c>
      <c r="D7333">
        <v>3798.48</v>
      </c>
    </row>
    <row r="7334" spans="1:4">
      <c r="A7334" t="str">
        <f>"75610-JG00A"</f>
        <v>75610-JG00A</v>
      </c>
      <c r="B7334" t="str">
        <f>"Панель кузова задняя"</f>
        <v>Панель кузова задняя</v>
      </c>
      <c r="C7334">
        <v>9</v>
      </c>
      <c r="D7334">
        <v>11213.88</v>
      </c>
    </row>
    <row r="7335" spans="1:4">
      <c r="A7335" t="str">
        <f>"75831-JD000"</f>
        <v>75831-JD000</v>
      </c>
      <c r="B7335" t="str">
        <f>"Кожух моторного отсе"</f>
        <v>Кожух моторного отсе</v>
      </c>
      <c r="C7335">
        <v>0</v>
      </c>
      <c r="D7335">
        <v>3820.9199999999996</v>
      </c>
    </row>
    <row r="7336" spans="1:4">
      <c r="A7336" t="str">
        <f>"75881-CG000"</f>
        <v>75881-CG000</v>
      </c>
      <c r="B7336" t="str">
        <f>"COVER-FR,UNDER"</f>
        <v>COVER-FR,UNDER</v>
      </c>
      <c r="C7336">
        <v>5</v>
      </c>
      <c r="D7336">
        <v>2225.64</v>
      </c>
    </row>
    <row r="7337" spans="1:4">
      <c r="A7337" t="str">
        <f>"75890-9Y000"</f>
        <v>75890-9Y000</v>
      </c>
      <c r="B7337" t="str">
        <f>"Кожух моторного отсе"</f>
        <v>Кожух моторного отсе</v>
      </c>
      <c r="C7337">
        <v>3</v>
      </c>
      <c r="D7337">
        <v>2846.2080000000001</v>
      </c>
    </row>
    <row r="7338" spans="1:4">
      <c r="A7338" t="str">
        <f>"75890-CA000"</f>
        <v>75890-CA000</v>
      </c>
      <c r="B7338" t="str">
        <f>"COVER-ENGINE LO"</f>
        <v>COVER-ENGINE LO</v>
      </c>
      <c r="C7338">
        <v>1</v>
      </c>
      <c r="D7338">
        <v>3608.76</v>
      </c>
    </row>
    <row r="7339" spans="1:4">
      <c r="A7339" t="str">
        <f>"75892-1CA0A"</f>
        <v>75892-1CA0A</v>
      </c>
      <c r="B7339" t="str">
        <f>"Кожух моторного отсе"</f>
        <v>Кожух моторного отсе</v>
      </c>
      <c r="C7339">
        <v>3</v>
      </c>
      <c r="D7339">
        <v>3199.944</v>
      </c>
    </row>
    <row r="7340" spans="1:4">
      <c r="A7340" t="str">
        <f>"75892-BR00A"</f>
        <v>75892-BR00A</v>
      </c>
      <c r="B7340" t="str">
        <f>"Кожух моторного отсе"</f>
        <v>Кожух моторного отсе</v>
      </c>
      <c r="C7340">
        <v>0</v>
      </c>
      <c r="D7340">
        <v>3403.944</v>
      </c>
    </row>
    <row r="7341" spans="1:4">
      <c r="A7341" t="str">
        <f>"75892-CG000"</f>
        <v>75892-CG000</v>
      </c>
      <c r="B7341" t="str">
        <f>"COVER-ENGINE LO"</f>
        <v>COVER-ENGINE LO</v>
      </c>
      <c r="C7341">
        <v>9</v>
      </c>
      <c r="D7341">
        <v>4557.768</v>
      </c>
    </row>
    <row r="7342" spans="1:4">
      <c r="A7342" t="str">
        <f>"75892-CG010"</f>
        <v>75892-CG010</v>
      </c>
      <c r="B7342" t="str">
        <f>"COVER-ENGINE LO"</f>
        <v>COVER-ENGINE LO</v>
      </c>
      <c r="C7342">
        <v>13</v>
      </c>
      <c r="D7342">
        <v>4668.3360000000002</v>
      </c>
    </row>
    <row r="7343" spans="1:4">
      <c r="A7343" t="str">
        <f>"75892-CL80A"</f>
        <v>75892-CL80A</v>
      </c>
      <c r="B7343" t="str">
        <f>"Кожух моторного отсе"</f>
        <v>Кожух моторного отсе</v>
      </c>
      <c r="C7343">
        <v>0</v>
      </c>
      <c r="D7343">
        <v>4409.6639999999998</v>
      </c>
    </row>
    <row r="7344" spans="1:4">
      <c r="A7344" t="str">
        <f>"75892-EL000"</f>
        <v>75892-EL000</v>
      </c>
      <c r="B7344" t="str">
        <f>"Защита моторного отс"</f>
        <v>Защита моторного отс</v>
      </c>
      <c r="C7344">
        <v>0</v>
      </c>
      <c r="D7344">
        <v>1302.7439999999999</v>
      </c>
    </row>
    <row r="7345" spans="1:4">
      <c r="A7345" t="str">
        <f>"75892-JD00B"</f>
        <v>75892-JD00B</v>
      </c>
      <c r="B7345" t="str">
        <f>"Защита моторного отс"</f>
        <v>Защита моторного отс</v>
      </c>
      <c r="C7345">
        <v>8</v>
      </c>
      <c r="D7345">
        <v>3192.1919999999996</v>
      </c>
    </row>
    <row r="7346" spans="1:4">
      <c r="A7346" t="str">
        <f>"75892-JG00A"</f>
        <v>75892-JG00A</v>
      </c>
      <c r="B7346" t="str">
        <f>"Защита моторного отс"</f>
        <v>Защита моторного отс</v>
      </c>
      <c r="C7346">
        <v>4</v>
      </c>
      <c r="D7346">
        <v>2705.0399999999995</v>
      </c>
    </row>
    <row r="7347" spans="1:4">
      <c r="A7347" t="str">
        <f>"75892-JG30A"</f>
        <v>75892-JG30A</v>
      </c>
      <c r="B7347" t="str">
        <f>"Кожух моторного отсе"</f>
        <v>Кожух моторного отсе</v>
      </c>
      <c r="C7347">
        <v>2</v>
      </c>
      <c r="D7347">
        <v>2600.1840000000002</v>
      </c>
    </row>
    <row r="7348" spans="1:4">
      <c r="A7348" t="str">
        <f>"75892-JK500"</f>
        <v>75892-JK500</v>
      </c>
      <c r="B7348" t="str">
        <f>"Кожух моторного отсе"</f>
        <v>Кожух моторного отсе</v>
      </c>
      <c r="C7348">
        <v>7</v>
      </c>
      <c r="D7348">
        <v>2481.4560000000001</v>
      </c>
    </row>
    <row r="7349" spans="1:4">
      <c r="A7349" t="str">
        <f>"75892-JN20A"</f>
        <v>75892-JN20A</v>
      </c>
      <c r="B7349" t="str">
        <f>"Кожух моторного отсе"</f>
        <v>Кожух моторного отсе</v>
      </c>
      <c r="C7349">
        <v>3</v>
      </c>
      <c r="D7349">
        <v>3434.136</v>
      </c>
    </row>
    <row r="7350" spans="1:4">
      <c r="A7350" t="str">
        <f>"75893-4M420"</f>
        <v>75893-4M420</v>
      </c>
      <c r="B7350" t="str">
        <f>"COVER-FR UNDER"</f>
        <v>COVER-FR UNDER</v>
      </c>
      <c r="C7350">
        <v>0</v>
      </c>
      <c r="D7350">
        <v>1595.6879999999999</v>
      </c>
    </row>
    <row r="7351" spans="1:4">
      <c r="A7351" t="str">
        <f>"75894-4M420"</f>
        <v>75894-4M420</v>
      </c>
      <c r="B7351" t="str">
        <f>"COVER-FR UNDER"</f>
        <v>COVER-FR UNDER</v>
      </c>
      <c r="C7351">
        <v>1</v>
      </c>
      <c r="D7351">
        <v>1846.1999999999998</v>
      </c>
    </row>
    <row r="7352" spans="1:4">
      <c r="A7352" t="str">
        <f>"75894-8H300"</f>
        <v>75894-8H300</v>
      </c>
      <c r="B7352" t="str">
        <f>"COVER-FR UNDER"</f>
        <v>COVER-FR UNDER</v>
      </c>
      <c r="C7352">
        <v>0</v>
      </c>
      <c r="D7352">
        <v>2106.096</v>
      </c>
    </row>
    <row r="7353" spans="1:4">
      <c r="A7353" t="str">
        <f>"75896-2Y10A"</f>
        <v>75896-2Y10A</v>
      </c>
      <c r="B7353" t="str">
        <f>"Кожух моторного отсе"</f>
        <v>Кожух моторного отсе</v>
      </c>
      <c r="C7353">
        <v>5</v>
      </c>
      <c r="D7353">
        <v>1701.36</v>
      </c>
    </row>
    <row r="7354" spans="1:4">
      <c r="A7354" t="str">
        <f>"75896-8H300"</f>
        <v>75896-8H300</v>
      </c>
      <c r="B7354" t="str">
        <f>"COVER-FR UNDER"</f>
        <v>COVER-FR UNDER</v>
      </c>
      <c r="C7354">
        <v>2</v>
      </c>
      <c r="D7354">
        <v>2353.3439999999996</v>
      </c>
    </row>
    <row r="7355" spans="1:4">
      <c r="A7355" t="str">
        <f>"75896-AV500"</f>
        <v>75896-AV500</v>
      </c>
      <c r="B7355" t="str">
        <f>"COVER-FRONT UND"</f>
        <v>COVER-FRONT UND</v>
      </c>
      <c r="C7355">
        <v>0</v>
      </c>
      <c r="D7355">
        <v>3383.136</v>
      </c>
    </row>
    <row r="7356" spans="1:4">
      <c r="A7356" t="str">
        <f>"75896-AV600"</f>
        <v>75896-AV600</v>
      </c>
      <c r="B7356" t="str">
        <f>"COVER-FRONT UND"</f>
        <v>COVER-FRONT UND</v>
      </c>
      <c r="C7356">
        <v>0</v>
      </c>
      <c r="D7356">
        <v>1974.7199999999998</v>
      </c>
    </row>
    <row r="7357" spans="1:4">
      <c r="A7357" t="str">
        <f>"75897-2Y10A"</f>
        <v>75897-2Y10A</v>
      </c>
      <c r="B7357" t="str">
        <f>"Кожух моторного отсе"</f>
        <v>Кожух моторного отсе</v>
      </c>
      <c r="C7357">
        <v>0</v>
      </c>
      <c r="D7357">
        <v>1685.04</v>
      </c>
    </row>
    <row r="7358" spans="1:4">
      <c r="A7358" t="str">
        <f>"75898-51U00"</f>
        <v>75898-51U00</v>
      </c>
      <c r="B7358" t="str">
        <f>"COVER-FR UNDER"</f>
        <v>COVER-FR UNDER</v>
      </c>
      <c r="C7358">
        <v>1</v>
      </c>
      <c r="D7358">
        <v>1354.9680000000001</v>
      </c>
    </row>
    <row r="7359" spans="1:4">
      <c r="A7359" t="str">
        <f>"75899-43U00"</f>
        <v>75899-43U00</v>
      </c>
      <c r="B7359" t="str">
        <f>"COVER-FR UNDER"</f>
        <v>COVER-FR UNDER</v>
      </c>
      <c r="C7359">
        <v>0</v>
      </c>
      <c r="D7359">
        <v>1573.2479999999998</v>
      </c>
    </row>
    <row r="7360" spans="1:4">
      <c r="A7360" t="str">
        <f>"75899-AV500"</f>
        <v>75899-AV500</v>
      </c>
      <c r="B7360" t="str">
        <f>"COVER-FRONT UND"</f>
        <v>COVER-FRONT UND</v>
      </c>
      <c r="C7360">
        <v>2</v>
      </c>
      <c r="D7360">
        <v>2926.9919999999997</v>
      </c>
    </row>
    <row r="7361" spans="1:4">
      <c r="A7361" t="str">
        <f>"76411-1N835"</f>
        <v>76411-1N835</v>
      </c>
      <c r="B7361" t="str">
        <f>"SILL-OUTER,LH"</f>
        <v>SILL-OUTER,LH</v>
      </c>
      <c r="C7361">
        <v>4</v>
      </c>
      <c r="D7361">
        <v>7476.5999999999995</v>
      </c>
    </row>
    <row r="7362" spans="1:4">
      <c r="A7362" t="str">
        <f>"76411-2N330"</f>
        <v>76411-2N330</v>
      </c>
      <c r="B7362" t="str">
        <f>"Порог кузова"</f>
        <v>Порог кузова</v>
      </c>
      <c r="C7362">
        <v>0</v>
      </c>
      <c r="D7362">
        <v>9219.5759999999991</v>
      </c>
    </row>
    <row r="7363" spans="1:4">
      <c r="A7363" t="str">
        <f>"76412-0Y100"</f>
        <v>76412-0Y100</v>
      </c>
      <c r="B7363" t="str">
        <f>"SILL-OUTER RH"</f>
        <v>SILL-OUTER RH</v>
      </c>
      <c r="C7363">
        <v>2</v>
      </c>
      <c r="D7363">
        <v>3540.6239999999998</v>
      </c>
    </row>
    <row r="7364" spans="1:4">
      <c r="A7364" t="str">
        <f>"76413-0Y100"</f>
        <v>76413-0Y100</v>
      </c>
      <c r="B7364" t="str">
        <f>"SILL-OTR LH"</f>
        <v>SILL-OTR LH</v>
      </c>
      <c r="C7364">
        <v>0</v>
      </c>
      <c r="D7364">
        <v>3584.28</v>
      </c>
    </row>
    <row r="7365" spans="1:4">
      <c r="A7365" t="str">
        <f>"764M0-JD00C"</f>
        <v>764M0-JD00C</v>
      </c>
      <c r="B7365" t="str">
        <f>"Защитная наклейка ку"</f>
        <v>Защитная наклейка ку</v>
      </c>
      <c r="C7365">
        <v>8</v>
      </c>
      <c r="D7365">
        <v>170.952</v>
      </c>
    </row>
    <row r="7366" spans="1:4">
      <c r="A7366" t="str">
        <f>"764M0-JD01B"</f>
        <v>764M0-JD01B</v>
      </c>
      <c r="B7366" t="str">
        <f>"Защитная наклейка ку"</f>
        <v>Защитная наклейка ку</v>
      </c>
      <c r="C7366">
        <v>2</v>
      </c>
      <c r="D7366">
        <v>174.21600000000001</v>
      </c>
    </row>
    <row r="7367" spans="1:4">
      <c r="A7367" t="str">
        <f>"764M0-JD03A"</f>
        <v>764M0-JD03A</v>
      </c>
      <c r="B7367" t="str">
        <f>"Защитная наклейка ку"</f>
        <v>Защитная наклейка ку</v>
      </c>
      <c r="C7367">
        <v>3</v>
      </c>
      <c r="D7367">
        <v>341.904</v>
      </c>
    </row>
    <row r="7368" spans="1:4">
      <c r="A7368" t="str">
        <f>"764M1-JD00C"</f>
        <v>764M1-JD00C</v>
      </c>
      <c r="B7368" t="str">
        <f>"Защитная наклейка ку"</f>
        <v>Защитная наклейка ку</v>
      </c>
      <c r="C7368">
        <v>4</v>
      </c>
      <c r="D7368">
        <v>167.28</v>
      </c>
    </row>
    <row r="7369" spans="1:4">
      <c r="A7369" t="str">
        <f>"76741-AV600"</f>
        <v>76741-AV600</v>
      </c>
      <c r="B7369" t="str">
        <f>"COVER-REAR WHEE"</f>
        <v>COVER-REAR WHEE</v>
      </c>
      <c r="C7369">
        <v>3</v>
      </c>
      <c r="D7369">
        <v>4521.4560000000001</v>
      </c>
    </row>
    <row r="7370" spans="1:4">
      <c r="A7370" t="str">
        <f>"76744-AV600"</f>
        <v>76744-AV600</v>
      </c>
      <c r="B7370" t="str">
        <f>"COVER-REAR WHEE"</f>
        <v>COVER-REAR WHEE</v>
      </c>
      <c r="C7370">
        <v>2</v>
      </c>
      <c r="D7370">
        <v>3822.1439999999998</v>
      </c>
    </row>
    <row r="7371" spans="1:4">
      <c r="A7371" t="str">
        <f>"76748-9U00A"</f>
        <v>76748-9U00A</v>
      </c>
      <c r="B7371" t="str">
        <f>"Подкрылок задний пла"</f>
        <v>Подкрылок задний пла</v>
      </c>
      <c r="C7371">
        <v>1</v>
      </c>
      <c r="D7371">
        <v>2085.6959999999999</v>
      </c>
    </row>
    <row r="7372" spans="1:4">
      <c r="A7372" t="str">
        <f>"76748-BC41A"</f>
        <v>76748-BC41A</v>
      </c>
      <c r="B7372" t="str">
        <f>"Подкрылок пластиковы"</f>
        <v>Подкрылок пластиковы</v>
      </c>
      <c r="C7372">
        <v>2</v>
      </c>
      <c r="D7372">
        <v>2047.752</v>
      </c>
    </row>
    <row r="7373" spans="1:4">
      <c r="A7373" t="str">
        <f>"76748-EB300"</f>
        <v>76748-EB300</v>
      </c>
      <c r="B7373" t="str">
        <f>"Подкрылок задний пла"</f>
        <v>Подкрылок задний пла</v>
      </c>
      <c r="C7373">
        <v>2</v>
      </c>
      <c r="D7373">
        <v>806.61599999999987</v>
      </c>
    </row>
    <row r="7374" spans="1:4">
      <c r="A7374" t="str">
        <f>"76748-EM00A"</f>
        <v>76748-EM00A</v>
      </c>
      <c r="B7374" t="str">
        <f>"Подкрылок пластиковы"</f>
        <v>Подкрылок пластиковы</v>
      </c>
      <c r="C7374">
        <v>10</v>
      </c>
      <c r="D7374">
        <v>1045.704</v>
      </c>
    </row>
    <row r="7375" spans="1:4">
      <c r="A7375" t="str">
        <f>"76749-9U00A"</f>
        <v>76749-9U00A</v>
      </c>
      <c r="B7375" t="str">
        <f>"Подкрылок пластиковы"</f>
        <v>Подкрылок пластиковы</v>
      </c>
      <c r="C7375">
        <v>2</v>
      </c>
      <c r="D7375">
        <v>2021.6399999999999</v>
      </c>
    </row>
    <row r="7376" spans="1:4">
      <c r="A7376" t="str">
        <f>"76749-BC41A"</f>
        <v>76749-BC41A</v>
      </c>
      <c r="B7376" t="str">
        <f>"Подкрылок пластиковы"</f>
        <v>Подкрылок пластиковы</v>
      </c>
      <c r="C7376">
        <v>2</v>
      </c>
      <c r="D7376">
        <v>1822.1279999999999</v>
      </c>
    </row>
    <row r="7377" spans="1:4">
      <c r="A7377" t="str">
        <f>"76749-EM00A"</f>
        <v>76749-EM00A</v>
      </c>
      <c r="B7377" t="str">
        <f>"Подкрылок пластиковы"</f>
        <v>Подкрылок пластиковы</v>
      </c>
      <c r="C7377">
        <v>0</v>
      </c>
      <c r="D7377">
        <v>1021.6319999999999</v>
      </c>
    </row>
    <row r="7378" spans="1:4">
      <c r="A7378" t="str">
        <f>"76751-VC300"</f>
        <v>76751-VC300</v>
      </c>
      <c r="B7378" t="str">
        <f>"Арка крыла"</f>
        <v>Арка крыла</v>
      </c>
      <c r="C7378">
        <v>1</v>
      </c>
      <c r="D7378">
        <v>6324</v>
      </c>
    </row>
    <row r="7379" spans="1:4">
      <c r="A7379" t="str">
        <f>"76766-EB300"</f>
        <v>76766-EB300</v>
      </c>
      <c r="B7379" t="str">
        <f>"Подкрылок пластиковы"</f>
        <v>Подкрылок пластиковы</v>
      </c>
      <c r="C7379">
        <v>6</v>
      </c>
      <c r="D7379">
        <v>1342.32</v>
      </c>
    </row>
    <row r="7380" spans="1:4">
      <c r="A7380" t="str">
        <f>"76769-95F0B"</f>
        <v>76769-95F0B</v>
      </c>
      <c r="B7380" t="str">
        <f>"Кронштейн"</f>
        <v>Кронштейн</v>
      </c>
      <c r="C7380">
        <v>1</v>
      </c>
      <c r="D7380">
        <v>471.64800000000002</v>
      </c>
    </row>
    <row r="7381" spans="1:4">
      <c r="A7381" t="str">
        <f>"76804-2DZ0A"</f>
        <v>76804-2DZ0A</v>
      </c>
      <c r="B7381" t="str">
        <f>"Воздухоотвод багажни"</f>
        <v>Воздухоотвод багажни</v>
      </c>
      <c r="C7381">
        <v>8</v>
      </c>
      <c r="D7381">
        <v>1119.5519999999999</v>
      </c>
    </row>
    <row r="7382" spans="1:4">
      <c r="A7382" t="str">
        <f>"76804-BM400"</f>
        <v>76804-BM400</v>
      </c>
      <c r="B7382" t="str">
        <f>"DUCT-DRAFTER,OU"</f>
        <v>DUCT-DRAFTER,OU</v>
      </c>
      <c r="C7382">
        <v>6</v>
      </c>
      <c r="D7382">
        <v>1502.2560000000001</v>
      </c>
    </row>
    <row r="7383" spans="1:4">
      <c r="A7383" t="str">
        <f>"76804-ED50A"</f>
        <v>76804-ED50A</v>
      </c>
      <c r="B7383" t="str">
        <f>"Воздухоотвод багажни"</f>
        <v>Воздухоотвод багажни</v>
      </c>
      <c r="C7383">
        <v>8</v>
      </c>
      <c r="D7383">
        <v>1170.5519999999999</v>
      </c>
    </row>
    <row r="7384" spans="1:4">
      <c r="A7384" t="str">
        <f>"76804-JD00A"</f>
        <v>76804-JD00A</v>
      </c>
      <c r="B7384" t="str">
        <f>"Воздухоотвод багажни"</f>
        <v>Воздухоотвод багажни</v>
      </c>
      <c r="C7384">
        <v>14</v>
      </c>
      <c r="D7384">
        <v>1142.808</v>
      </c>
    </row>
    <row r="7385" spans="1:4">
      <c r="A7385" t="str">
        <f>"76805-2Y000"</f>
        <v>76805-2Y000</v>
      </c>
      <c r="B7385" t="str">
        <f>"DUCT-DRAFTER"</f>
        <v>DUCT-DRAFTER</v>
      </c>
      <c r="C7385">
        <v>6</v>
      </c>
      <c r="D7385">
        <v>984.50399999999991</v>
      </c>
    </row>
    <row r="7386" spans="1:4">
      <c r="A7386" t="str">
        <f>"76805-4M400"</f>
        <v>76805-4M400</v>
      </c>
      <c r="B7386" t="str">
        <f>"DUCT-DRAFTER"</f>
        <v>DUCT-DRAFTER</v>
      </c>
      <c r="C7386">
        <v>6</v>
      </c>
      <c r="D7386">
        <v>1008.984</v>
      </c>
    </row>
    <row r="7387" spans="1:4">
      <c r="A7387" t="str">
        <f>"76805-8H300"</f>
        <v>76805-8H300</v>
      </c>
      <c r="B7387" t="str">
        <f>"DUCT-DRAFTER"</f>
        <v>DUCT-DRAFTER</v>
      </c>
      <c r="C7387">
        <v>4</v>
      </c>
      <c r="D7387">
        <v>936.76799999999992</v>
      </c>
    </row>
    <row r="7388" spans="1:4">
      <c r="A7388" t="str">
        <f>"76805-95F0A"</f>
        <v>76805-95F0A</v>
      </c>
      <c r="B7388" t="str">
        <f>"Воздухоотвод багажни"</f>
        <v>Воздухоотвод багажни</v>
      </c>
      <c r="C7388">
        <v>10</v>
      </c>
      <c r="D7388">
        <v>1862.1119999999999</v>
      </c>
    </row>
    <row r="7389" spans="1:4">
      <c r="A7389" t="str">
        <f>"76807-2F000"</f>
        <v>76807-2F000</v>
      </c>
      <c r="B7389" t="str">
        <f>"SEAL-DRAFTER"</f>
        <v>SEAL-DRAFTER</v>
      </c>
      <c r="C7389">
        <v>3</v>
      </c>
      <c r="D7389">
        <v>297.83999999999997</v>
      </c>
    </row>
    <row r="7390" spans="1:4">
      <c r="A7390" t="str">
        <f>"76811-95F0A"</f>
        <v>76811-95F0A</v>
      </c>
      <c r="B7390" t="str">
        <f>"Молдинг лобового сте"</f>
        <v>Молдинг лобового сте</v>
      </c>
      <c r="C7390">
        <v>4</v>
      </c>
      <c r="D7390">
        <v>955.12800000000004</v>
      </c>
    </row>
    <row r="7391" spans="1:4">
      <c r="A7391" t="str">
        <f>"76812-9Y000"</f>
        <v>76812-9Y000</v>
      </c>
      <c r="B7391" t="str">
        <f>"Молдинг крыши боково"</f>
        <v>Молдинг крыши боково</v>
      </c>
      <c r="C7391">
        <v>1</v>
      </c>
      <c r="D7391">
        <v>1669.1279999999999</v>
      </c>
    </row>
    <row r="7392" spans="1:4">
      <c r="A7392" t="str">
        <f>"76813-9Y000"</f>
        <v>76813-9Y000</v>
      </c>
      <c r="B7392" t="str">
        <f>"Молдинг арки две"</f>
        <v>Молдинг арки две</v>
      </c>
      <c r="C7392">
        <v>1</v>
      </c>
      <c r="D7392">
        <v>1669.1279999999999</v>
      </c>
    </row>
    <row r="7393" spans="1:4">
      <c r="A7393" t="str">
        <f>"76820-ED500"</f>
        <v>76820-ED500</v>
      </c>
      <c r="B7393" t="str">
        <f>"Уголок стекла дв"</f>
        <v>Уголок стекла дв</v>
      </c>
      <c r="C7393">
        <v>9</v>
      </c>
      <c r="D7393">
        <v>3803.3759999999997</v>
      </c>
    </row>
    <row r="7394" spans="1:4">
      <c r="A7394" t="str">
        <f>"76821-ED500"</f>
        <v>76821-ED500</v>
      </c>
      <c r="B7394" t="str">
        <f>"Уголок стекла дв"</f>
        <v>Уголок стекла дв</v>
      </c>
      <c r="C7394">
        <v>2</v>
      </c>
      <c r="D7394">
        <v>3842.5439999999999</v>
      </c>
    </row>
    <row r="7395" spans="1:4">
      <c r="A7395" t="str">
        <f>"76821-ED900"</f>
        <v>76821-ED900</v>
      </c>
      <c r="B7395" t="str">
        <f>"Стекло переднее лево"</f>
        <v>Стекло переднее лево</v>
      </c>
      <c r="C7395">
        <v>1</v>
      </c>
      <c r="D7395">
        <v>3812.76</v>
      </c>
    </row>
    <row r="7396" spans="1:4">
      <c r="A7396" t="str">
        <f>"76842-1YA0A"</f>
        <v>76842-1YA0A</v>
      </c>
      <c r="B7396" t="str">
        <f>"Уплотнитель"</f>
        <v>Уплотнитель</v>
      </c>
      <c r="C7396">
        <v>2</v>
      </c>
      <c r="D7396">
        <v>1012.6559999999999</v>
      </c>
    </row>
    <row r="7397" spans="1:4">
      <c r="A7397" t="str">
        <f>"76842-JD01A"</f>
        <v>76842-JD01A</v>
      </c>
      <c r="B7397" t="str">
        <f>"Уплотнитель крыш"</f>
        <v>Уплотнитель крыш</v>
      </c>
      <c r="C7397">
        <v>0</v>
      </c>
      <c r="D7397">
        <v>1012.6559999999999</v>
      </c>
    </row>
    <row r="7398" spans="1:4">
      <c r="A7398" t="str">
        <f>"76843-1YA0A"</f>
        <v>76843-1YA0A</v>
      </c>
      <c r="B7398" t="str">
        <f>"Уплотнитель"</f>
        <v>Уплотнитель</v>
      </c>
      <c r="C7398">
        <v>8</v>
      </c>
      <c r="D7398">
        <v>1190.5439999999999</v>
      </c>
    </row>
    <row r="7399" spans="1:4">
      <c r="A7399" t="str">
        <f>"76844-VB000"</f>
        <v>76844-VB000</v>
      </c>
      <c r="B7399" t="str">
        <f>"NUT-SPRING"</f>
        <v>NUT-SPRING</v>
      </c>
      <c r="C7399">
        <v>2</v>
      </c>
      <c r="D7399">
        <v>29.783999999999999</v>
      </c>
    </row>
    <row r="7400" spans="1:4">
      <c r="A7400" t="str">
        <f>"76847-1BA2A"</f>
        <v>76847-1BA2A</v>
      </c>
      <c r="B7400" t="str">
        <f>"Пистон молдинга"</f>
        <v>Пистон молдинга</v>
      </c>
      <c r="C7400">
        <v>0</v>
      </c>
      <c r="D7400">
        <v>22.032</v>
      </c>
    </row>
    <row r="7401" spans="1:4">
      <c r="A7401" t="str">
        <f>"76847-3V60A"</f>
        <v>76847-3V60A</v>
      </c>
      <c r="B7401" t="str">
        <f>"Пистон молдинга двер"</f>
        <v>Пистон молдинга двер</v>
      </c>
      <c r="C7401">
        <v>19</v>
      </c>
      <c r="D7401">
        <v>130.15199999999999</v>
      </c>
    </row>
    <row r="7402" spans="1:4">
      <c r="A7402" t="str">
        <f>"76847-CG000"</f>
        <v>76847-CG000</v>
      </c>
      <c r="B7402" t="str">
        <f>"CLIP"</f>
        <v>CLIP</v>
      </c>
      <c r="C7402">
        <v>76</v>
      </c>
      <c r="D7402">
        <v>64.463999999999999</v>
      </c>
    </row>
    <row r="7403" spans="1:4">
      <c r="A7403" t="str">
        <f>"76847-CG005"</f>
        <v>76847-CG005</v>
      </c>
      <c r="B7403" t="str">
        <f>"CLIP"</f>
        <v>CLIP</v>
      </c>
      <c r="C7403">
        <v>0</v>
      </c>
      <c r="D7403">
        <v>131.78399999999999</v>
      </c>
    </row>
    <row r="7404" spans="1:4">
      <c r="A7404" t="str">
        <f>"76847-JG00A"</f>
        <v>76847-JG00A</v>
      </c>
      <c r="B7404" t="str">
        <f>"Пистон надкрылка"</f>
        <v>Пистон надкрылка</v>
      </c>
      <c r="C7404">
        <v>24</v>
      </c>
      <c r="D7404">
        <v>46.103999999999999</v>
      </c>
    </row>
    <row r="7405" spans="1:4">
      <c r="A7405" t="str">
        <f>"76847-VB000"</f>
        <v>76847-VB000</v>
      </c>
      <c r="B7405" t="str">
        <f>"CLIP"</f>
        <v>CLIP</v>
      </c>
      <c r="C7405">
        <v>4</v>
      </c>
      <c r="D7405">
        <v>38.351999999999997</v>
      </c>
    </row>
    <row r="7406" spans="1:4">
      <c r="A7406" t="str">
        <f>"76848-35F00"</f>
        <v>76848-35F00</v>
      </c>
      <c r="B7406" t="str">
        <f>"COVER END DOOR"</f>
        <v>COVER END DOOR</v>
      </c>
      <c r="C7406">
        <v>28</v>
      </c>
      <c r="D7406">
        <v>48.959999999999994</v>
      </c>
    </row>
    <row r="7407" spans="1:4">
      <c r="A7407" t="str">
        <f>"76848-51S00"</f>
        <v>76848-51S00</v>
      </c>
      <c r="B7407" t="str">
        <f>"GROMMET SCREW"</f>
        <v>GROMMET SCREW</v>
      </c>
      <c r="C7407">
        <v>10</v>
      </c>
      <c r="D7407">
        <v>43.247999999999998</v>
      </c>
    </row>
    <row r="7408" spans="1:4">
      <c r="A7408" t="str">
        <f>"76848-6P020"</f>
        <v>76848-6P020</v>
      </c>
      <c r="B7408" t="str">
        <f>"Фиксатор пистона"</f>
        <v>Фиксатор пистона</v>
      </c>
      <c r="C7408">
        <v>1</v>
      </c>
      <c r="D7408">
        <v>46.92</v>
      </c>
    </row>
    <row r="7409" spans="1:4">
      <c r="A7409" t="str">
        <f>"76848-95F0C"</f>
        <v>76848-95F0C</v>
      </c>
      <c r="B7409" t="str">
        <f>"Фиксатор пистона"</f>
        <v>Фиксатор пистона</v>
      </c>
      <c r="C7409">
        <v>19</v>
      </c>
      <c r="D7409">
        <v>32.64</v>
      </c>
    </row>
    <row r="7410" spans="1:4">
      <c r="A7410" t="str">
        <f>"76848-AL500"</f>
        <v>76848-AL500</v>
      </c>
      <c r="B7410" t="str">
        <f>"Пистон молдинга лобо"</f>
        <v>Пистон молдинга лобо</v>
      </c>
      <c r="C7410">
        <v>15</v>
      </c>
      <c r="D7410">
        <v>45.695999999999998</v>
      </c>
    </row>
    <row r="7411" spans="1:4">
      <c r="A7411" t="str">
        <f>"76848-ED000"</f>
        <v>76848-ED000</v>
      </c>
      <c r="B7411" t="str">
        <f>"Пистон-держатель тру"</f>
        <v>Пистон-держатель тру</v>
      </c>
      <c r="C7411">
        <v>1</v>
      </c>
      <c r="D7411">
        <v>45.695999999999998</v>
      </c>
    </row>
    <row r="7412" spans="1:4">
      <c r="A7412" t="str">
        <f>"76848-EG00A"</f>
        <v>76848-EG00A</v>
      </c>
      <c r="B7412" t="str">
        <f>"Пистон фонаря"</f>
        <v>Пистон фонаря</v>
      </c>
      <c r="C7412">
        <v>8</v>
      </c>
      <c r="D7412">
        <v>77.52</v>
      </c>
    </row>
    <row r="7413" spans="1:4">
      <c r="A7413" t="str">
        <f>"76848-JG00A"</f>
        <v>76848-JG00A</v>
      </c>
      <c r="B7413" t="str">
        <f>"Пистон молдинга лобо"</f>
        <v>Пистон молдинга лобо</v>
      </c>
      <c r="C7413">
        <v>66</v>
      </c>
      <c r="D7413">
        <v>44.879999999999995</v>
      </c>
    </row>
    <row r="7414" spans="1:4">
      <c r="A7414" t="str">
        <f>"76848-JG00B"</f>
        <v>76848-JG00B</v>
      </c>
      <c r="B7414" t="str">
        <f>"Пистон молдинга лобо"</f>
        <v>Пистон молдинга лобо</v>
      </c>
      <c r="C7414">
        <v>9</v>
      </c>
      <c r="D7414">
        <v>46.92</v>
      </c>
    </row>
    <row r="7415" spans="1:4">
      <c r="A7415" t="str">
        <f>"76848-VB000"</f>
        <v>76848-VB000</v>
      </c>
      <c r="B7415" t="str">
        <f>"GROMMET RUBBER"</f>
        <v>GROMMET RUBBER</v>
      </c>
      <c r="C7415">
        <v>32</v>
      </c>
      <c r="D7415">
        <v>45.288000000000004</v>
      </c>
    </row>
    <row r="7416" spans="1:4">
      <c r="A7416" t="str">
        <f>"76850-1BF0A"</f>
        <v>76850-1BF0A</v>
      </c>
      <c r="B7416" t="str">
        <f>"Кожух порога кузова "</f>
        <v xml:space="preserve">Кожух порога кузова </v>
      </c>
      <c r="C7416">
        <v>2</v>
      </c>
      <c r="D7416">
        <v>15386.088</v>
      </c>
    </row>
    <row r="7417" spans="1:4">
      <c r="A7417" t="str">
        <f>"76850-1CJ0A"</f>
        <v>76850-1CJ0A</v>
      </c>
      <c r="B7417" t="str">
        <f>"Кожух порога кузова "</f>
        <v xml:space="preserve">Кожух порога кузова </v>
      </c>
      <c r="C7417">
        <v>3</v>
      </c>
      <c r="D7417">
        <v>12507.24</v>
      </c>
    </row>
    <row r="7418" spans="1:4">
      <c r="A7418" t="str">
        <f>"76850-9Y000"</f>
        <v>76850-9Y000</v>
      </c>
      <c r="B7418" t="str">
        <f>"Кожух порога кузова "</f>
        <v xml:space="preserve">Кожух порога кузова </v>
      </c>
      <c r="C7418">
        <v>0</v>
      </c>
      <c r="D7418">
        <v>7751.1839999999993</v>
      </c>
    </row>
    <row r="7419" spans="1:4">
      <c r="A7419" t="str">
        <f>"76850-CG000"</f>
        <v>76850-CG000</v>
      </c>
      <c r="B7419" t="str">
        <f>"MUDGUARD-SILL"</f>
        <v>MUDGUARD-SILL</v>
      </c>
      <c r="C7419">
        <v>2</v>
      </c>
      <c r="D7419">
        <v>11984.591999999999</v>
      </c>
    </row>
    <row r="7420" spans="1:4">
      <c r="A7420" t="str">
        <f>"76850-CM80A"</f>
        <v>76850-CM80A</v>
      </c>
      <c r="B7420" t="str">
        <f>"Кожух порога кузова "</f>
        <v xml:space="preserve">Кожух порога кузова </v>
      </c>
      <c r="C7420">
        <v>2</v>
      </c>
      <c r="D7420">
        <v>12846.696</v>
      </c>
    </row>
    <row r="7421" spans="1:4">
      <c r="A7421" t="str">
        <f>"76850-EM30A"</f>
        <v>76850-EM30A</v>
      </c>
      <c r="B7421" t="str">
        <f>"Кожух порога кузова "</f>
        <v xml:space="preserve">Кожух порога кузова </v>
      </c>
      <c r="C7421">
        <v>2</v>
      </c>
      <c r="D7421">
        <v>9005.7839999999997</v>
      </c>
    </row>
    <row r="7422" spans="1:4">
      <c r="A7422" t="str">
        <f>"76850-EM40A"</f>
        <v>76850-EM40A</v>
      </c>
      <c r="B7422" t="str">
        <f>"Накладка порога"</f>
        <v>Накладка порога</v>
      </c>
      <c r="C7422">
        <v>0</v>
      </c>
      <c r="D7422">
        <v>6634.8959999999997</v>
      </c>
    </row>
    <row r="7423" spans="1:4">
      <c r="A7423" t="str">
        <f>"76850-JN23D"</f>
        <v>76850-JN23D</v>
      </c>
      <c r="B7423" t="str">
        <f>"Кожух порога кузова "</f>
        <v xml:space="preserve">Кожух порога кузова </v>
      </c>
      <c r="C7423">
        <v>0</v>
      </c>
      <c r="D7423">
        <v>11317.512000000001</v>
      </c>
    </row>
    <row r="7424" spans="1:4">
      <c r="A7424" t="str">
        <f>"76851-1BF0A"</f>
        <v>76851-1BF0A</v>
      </c>
      <c r="B7424" t="str">
        <f>"Кожух порога кузова "</f>
        <v xml:space="preserve">Кожух порога кузова </v>
      </c>
      <c r="C7424">
        <v>0</v>
      </c>
      <c r="D7424">
        <v>14280</v>
      </c>
    </row>
    <row r="7425" spans="1:4">
      <c r="A7425" t="str">
        <f>"76851-1CJ0A"</f>
        <v>76851-1CJ0A</v>
      </c>
      <c r="B7425" t="str">
        <f>"Кожух порога кузова "</f>
        <v xml:space="preserve">Кожух порога кузова </v>
      </c>
      <c r="C7425">
        <v>1</v>
      </c>
      <c r="D7425">
        <v>12803.855999999998</v>
      </c>
    </row>
    <row r="7426" spans="1:4">
      <c r="A7426" t="str">
        <f>"76851-9Y000"</f>
        <v>76851-9Y000</v>
      </c>
      <c r="B7426" t="str">
        <f>"Кожух порога кузова "</f>
        <v xml:space="preserve">Кожух порога кузова </v>
      </c>
      <c r="C7426">
        <v>3</v>
      </c>
      <c r="D7426">
        <v>7583.0879999999997</v>
      </c>
    </row>
    <row r="7427" spans="1:4">
      <c r="A7427" t="str">
        <f>"76851-AU300"</f>
        <v>76851-AU300</v>
      </c>
      <c r="B7427" t="str">
        <f>"MUDGUARD-SILL C"</f>
        <v>MUDGUARD-SILL C</v>
      </c>
      <c r="C7427">
        <v>2</v>
      </c>
      <c r="D7427">
        <v>4220.76</v>
      </c>
    </row>
    <row r="7428" spans="1:4">
      <c r="A7428" t="str">
        <f>"76851-CG000"</f>
        <v>76851-CG000</v>
      </c>
      <c r="B7428" t="str">
        <f>"MUDGUARD-SILL C"</f>
        <v>MUDGUARD-SILL C</v>
      </c>
      <c r="C7428">
        <v>3</v>
      </c>
      <c r="D7428">
        <v>11750.4</v>
      </c>
    </row>
    <row r="7429" spans="1:4">
      <c r="A7429" t="str">
        <f>"76851-CM80A"</f>
        <v>76851-CM80A</v>
      </c>
      <c r="B7429" t="str">
        <f>"Кожух порога кузова "</f>
        <v xml:space="preserve">Кожух порога кузова </v>
      </c>
      <c r="C7429">
        <v>0</v>
      </c>
      <c r="D7429">
        <v>12492.551999999998</v>
      </c>
    </row>
    <row r="7430" spans="1:4">
      <c r="A7430" t="str">
        <f>"76851-EM30A"</f>
        <v>76851-EM30A</v>
      </c>
      <c r="B7430" t="str">
        <f>"Кожух порога куз"</f>
        <v>Кожух порога куз</v>
      </c>
      <c r="C7430">
        <v>0</v>
      </c>
      <c r="D7430">
        <v>9005.7839999999997</v>
      </c>
    </row>
    <row r="7431" spans="1:4">
      <c r="A7431" t="str">
        <f>"76851-EM40A"</f>
        <v>76851-EM40A</v>
      </c>
      <c r="B7431" t="str">
        <f>"Накладка порога"</f>
        <v>Накладка порога</v>
      </c>
      <c r="C7431">
        <v>1</v>
      </c>
      <c r="D7431">
        <v>8002.1039999999994</v>
      </c>
    </row>
    <row r="7432" spans="1:4">
      <c r="A7432" t="str">
        <f>"76851-JN23D"</f>
        <v>76851-JN23D</v>
      </c>
      <c r="B7432" t="str">
        <f>"Кожух порога кузова "</f>
        <v xml:space="preserve">Кожух порога кузова </v>
      </c>
      <c r="C7432">
        <v>0</v>
      </c>
      <c r="D7432">
        <v>11326.895999999999</v>
      </c>
    </row>
    <row r="7433" spans="1:4">
      <c r="A7433" t="str">
        <f>"76852-3UB1A"</f>
        <v>76852-3UB1A</v>
      </c>
      <c r="B7433" t="str">
        <f>"Надкрылок пластиковы"</f>
        <v>Надкрылок пластиковы</v>
      </c>
      <c r="C7433">
        <v>7</v>
      </c>
      <c r="D7433">
        <v>6049.4160000000002</v>
      </c>
    </row>
    <row r="7434" spans="1:4">
      <c r="A7434" t="str">
        <f>"76852-JG30A"</f>
        <v>76852-JG30A</v>
      </c>
      <c r="B7434" t="str">
        <f>"Надкрылок пластиковы"</f>
        <v>Надкрылок пластиковы</v>
      </c>
      <c r="C7434">
        <v>30</v>
      </c>
      <c r="D7434">
        <v>6085.3200000000006</v>
      </c>
    </row>
    <row r="7435" spans="1:4">
      <c r="A7435" t="str">
        <f>"76853-3UB1A"</f>
        <v>76853-3UB1A</v>
      </c>
      <c r="B7435" t="str">
        <f>"Надкрылок пластиковы"</f>
        <v>Надкрылок пластиковы</v>
      </c>
      <c r="C7435">
        <v>8</v>
      </c>
      <c r="D7435">
        <v>6049.4160000000002</v>
      </c>
    </row>
    <row r="7436" spans="1:4">
      <c r="A7436" t="str">
        <f>"76853-JG30A"</f>
        <v>76853-JG30A</v>
      </c>
      <c r="B7436" t="str">
        <f>"Накладка колесной ар"</f>
        <v>Накладка колесной ар</v>
      </c>
      <c r="C7436">
        <v>9</v>
      </c>
      <c r="D7436">
        <v>6065.7359999999999</v>
      </c>
    </row>
    <row r="7437" spans="1:4">
      <c r="A7437" t="str">
        <f>"76854-EM30A"</f>
        <v>76854-EM30A</v>
      </c>
      <c r="B7437" t="str">
        <f>"Заглушка накладки по"</f>
        <v>Заглушка накладки по</v>
      </c>
      <c r="C7437">
        <v>1</v>
      </c>
      <c r="D7437">
        <v>472.05599999999998</v>
      </c>
    </row>
    <row r="7438" spans="1:4">
      <c r="A7438" t="str">
        <f>"76856-3UB0A"</f>
        <v>76856-3UB0A</v>
      </c>
      <c r="B7438" t="str">
        <f>"Накладка колесной ар"</f>
        <v>Накладка колесной ар</v>
      </c>
      <c r="C7438">
        <v>8</v>
      </c>
      <c r="D7438">
        <v>6426.4080000000004</v>
      </c>
    </row>
    <row r="7439" spans="1:4">
      <c r="A7439" t="str">
        <f>"76856-8H300"</f>
        <v>76856-8H300</v>
      </c>
      <c r="B7439" t="str">
        <f>"MUDGUARD-CTR,RH"</f>
        <v>MUDGUARD-CTR,RH</v>
      </c>
      <c r="C7439">
        <v>5</v>
      </c>
      <c r="D7439">
        <v>606.28800000000001</v>
      </c>
    </row>
    <row r="7440" spans="1:4">
      <c r="A7440" t="str">
        <f>"76856-BR00A"</f>
        <v>76856-BR00A</v>
      </c>
      <c r="B7440" t="str">
        <f>"Накладка колесной ар"</f>
        <v>Накладка колесной ар</v>
      </c>
      <c r="C7440">
        <v>1</v>
      </c>
      <c r="D7440">
        <v>482.66399999999999</v>
      </c>
    </row>
    <row r="7441" spans="1:4">
      <c r="A7441" t="str">
        <f>"76856-JD000"</f>
        <v>76856-JD000</v>
      </c>
      <c r="B7441" t="str">
        <f>"Надкрылок пластиковы"</f>
        <v>Надкрылок пластиковы</v>
      </c>
      <c r="C7441">
        <v>0</v>
      </c>
      <c r="D7441">
        <v>449.61599999999999</v>
      </c>
    </row>
    <row r="7442" spans="1:4">
      <c r="A7442" t="str">
        <f>"76856-JG20A"</f>
        <v>76856-JG20A</v>
      </c>
      <c r="B7442" t="str">
        <f>"Надкрылок пластиковы"</f>
        <v>Надкрылок пластиковы</v>
      </c>
      <c r="C7442">
        <v>11</v>
      </c>
      <c r="D7442">
        <v>6184.8720000000003</v>
      </c>
    </row>
    <row r="7443" spans="1:4">
      <c r="A7443" t="str">
        <f>"76857-3UB0A"</f>
        <v>76857-3UB0A</v>
      </c>
      <c r="B7443" t="str">
        <f>"Накладка колесной ар"</f>
        <v>Накладка колесной ар</v>
      </c>
      <c r="C7443">
        <v>8</v>
      </c>
      <c r="D7443">
        <v>6426.4080000000004</v>
      </c>
    </row>
    <row r="7444" spans="1:4">
      <c r="A7444" t="str">
        <f>"76857-8H300"</f>
        <v>76857-8H300</v>
      </c>
      <c r="B7444" t="str">
        <f>"MUDGUARD"</f>
        <v>MUDGUARD</v>
      </c>
      <c r="C7444">
        <v>2</v>
      </c>
      <c r="D7444">
        <v>609.55199999999991</v>
      </c>
    </row>
    <row r="7445" spans="1:4">
      <c r="A7445" t="str">
        <f>"76857-BR00A"</f>
        <v>76857-BR00A</v>
      </c>
      <c r="B7445" t="str">
        <f>"Накладка колесной ар"</f>
        <v>Накладка колесной ар</v>
      </c>
      <c r="C7445">
        <v>0</v>
      </c>
      <c r="D7445">
        <v>482.66399999999999</v>
      </c>
    </row>
    <row r="7446" spans="1:4">
      <c r="A7446" t="str">
        <f>"76857-JD000"</f>
        <v>76857-JD000</v>
      </c>
      <c r="B7446" t="str">
        <f>"Накладка колесной ар"</f>
        <v>Накладка колесной ар</v>
      </c>
      <c r="C7446">
        <v>7</v>
      </c>
      <c r="D7446">
        <v>399.84</v>
      </c>
    </row>
    <row r="7447" spans="1:4">
      <c r="A7447" t="str">
        <f>"76857-JG20A"</f>
        <v>76857-JG20A</v>
      </c>
      <c r="B7447" t="str">
        <f>"Надкрылок пластиковы"</f>
        <v>Надкрылок пластиковы</v>
      </c>
      <c r="C7447">
        <v>21</v>
      </c>
      <c r="D7447">
        <v>6179.16</v>
      </c>
    </row>
    <row r="7448" spans="1:4">
      <c r="A7448" t="str">
        <f>"76881-JG00A"</f>
        <v>76881-JG00A</v>
      </c>
      <c r="B7448" t="str">
        <f>"Пистон надкрылка"</f>
        <v>Пистон надкрылка</v>
      </c>
      <c r="C7448">
        <v>42</v>
      </c>
      <c r="D7448">
        <v>83.64</v>
      </c>
    </row>
    <row r="7449" spans="1:4">
      <c r="A7449" t="str">
        <f>"76882-0M000"</f>
        <v>76882-0M000</v>
      </c>
      <c r="B7449" t="str">
        <f>"CANOE RIVET"</f>
        <v>CANOE RIVET</v>
      </c>
      <c r="C7449">
        <v>42</v>
      </c>
      <c r="D7449">
        <v>86.087999999999994</v>
      </c>
    </row>
    <row r="7450" spans="1:4">
      <c r="A7450" t="str">
        <f>"76882-0M060"</f>
        <v>76882-0M060</v>
      </c>
      <c r="B7450" t="str">
        <f>"CLIP"</f>
        <v>CLIP</v>
      </c>
      <c r="C7450">
        <v>6</v>
      </c>
      <c r="D7450">
        <v>87.311999999999998</v>
      </c>
    </row>
    <row r="7451" spans="1:4">
      <c r="A7451" t="str">
        <f>"76882-91P00"</f>
        <v>76882-91P00</v>
      </c>
      <c r="B7451" t="str">
        <f>"CLAMP-HOSE"</f>
        <v>CLAMP-HOSE</v>
      </c>
      <c r="C7451">
        <v>8</v>
      </c>
      <c r="D7451">
        <v>102.408</v>
      </c>
    </row>
    <row r="7452" spans="1:4">
      <c r="A7452" t="str">
        <f>"76882-95F0A"</f>
        <v>76882-95F0A</v>
      </c>
      <c r="B7452" t="str">
        <f>"Пистон подкрылка"</f>
        <v>Пистон подкрылка</v>
      </c>
      <c r="C7452">
        <v>0</v>
      </c>
      <c r="D7452">
        <v>125.66399999999999</v>
      </c>
    </row>
    <row r="7453" spans="1:4">
      <c r="A7453" t="str">
        <f>"76882-D4001"</f>
        <v>76882-D4001</v>
      </c>
      <c r="B7453" t="str">
        <f>"HOLDER RR PART"</f>
        <v>HOLDER RR PART</v>
      </c>
      <c r="C7453">
        <v>8</v>
      </c>
      <c r="D7453">
        <v>73.44</v>
      </c>
    </row>
    <row r="7454" spans="1:4">
      <c r="A7454" t="str">
        <f>"76882-D4002"</f>
        <v>76882-D4002</v>
      </c>
      <c r="B7454" t="str">
        <f>"NUT"</f>
        <v>NUT</v>
      </c>
      <c r="C7454">
        <v>6</v>
      </c>
      <c r="D7454">
        <v>51.815999999999995</v>
      </c>
    </row>
    <row r="7455" spans="1:4">
      <c r="A7455" t="str">
        <f>"76882-EG01A"</f>
        <v>76882-EG01A</v>
      </c>
      <c r="B7455" t="str">
        <f>"Пистон накладки поро"</f>
        <v>Пистон накладки поро</v>
      </c>
      <c r="C7455">
        <v>10</v>
      </c>
      <c r="D7455">
        <v>36.72</v>
      </c>
    </row>
    <row r="7456" spans="1:4">
      <c r="A7456" t="str">
        <f>"76882-EW00B"</f>
        <v>76882-EW00B</v>
      </c>
      <c r="B7456" t="str">
        <f>"Пистон накладки поро"</f>
        <v>Пистон накладки поро</v>
      </c>
      <c r="C7456">
        <v>73</v>
      </c>
      <c r="D7456">
        <v>37.128</v>
      </c>
    </row>
    <row r="7457" spans="1:4">
      <c r="A7457" t="str">
        <f>"76882-JG00A"</f>
        <v>76882-JG00A</v>
      </c>
      <c r="B7457" t="str">
        <f>"Пистон подкрылка"</f>
        <v>Пистон подкрылка</v>
      </c>
      <c r="C7457">
        <v>0</v>
      </c>
      <c r="D7457">
        <v>35.087999999999994</v>
      </c>
    </row>
    <row r="7458" spans="1:4">
      <c r="A7458" t="str">
        <f>"76882-JG10A"</f>
        <v>76882-JG10A</v>
      </c>
      <c r="B7458" t="str">
        <f>"Пистон надкрылка"</f>
        <v>Пистон надкрылка</v>
      </c>
      <c r="C7458">
        <v>88</v>
      </c>
      <c r="D7458">
        <v>36.311999999999998</v>
      </c>
    </row>
    <row r="7459" spans="1:4">
      <c r="A7459" t="str">
        <f>"76884-AX610"</f>
        <v>76884-AX610</v>
      </c>
      <c r="B7459" t="str">
        <f>"INSULATOR-WINDS"</f>
        <v>INSULATOR-WINDS</v>
      </c>
      <c r="C7459">
        <v>2</v>
      </c>
      <c r="D7459">
        <v>343.12799999999999</v>
      </c>
    </row>
    <row r="7460" spans="1:4">
      <c r="A7460" t="str">
        <f>"76892-2Y010"</f>
        <v>76892-2Y010</v>
      </c>
      <c r="B7460" t="str">
        <f>"BRACKET-SUN ROO"</f>
        <v>BRACKET-SUN ROO</v>
      </c>
      <c r="C7460">
        <v>1</v>
      </c>
      <c r="D7460">
        <v>391.27199999999999</v>
      </c>
    </row>
    <row r="7461" spans="1:4">
      <c r="A7461" t="str">
        <f>"76912-JD000"</f>
        <v>76912-JD000</v>
      </c>
      <c r="B7461" t="str">
        <f>"GARNISH ASSY-FR"</f>
        <v>GARNISH ASSY-FR</v>
      </c>
      <c r="C7461">
        <v>0</v>
      </c>
      <c r="D7461">
        <v>3422.712</v>
      </c>
    </row>
    <row r="7462" spans="1:4">
      <c r="A7462" t="str">
        <f>"76914-JD00A"</f>
        <v>76914-JD00A</v>
      </c>
      <c r="B7462" t="str">
        <f>"Обшивка средней стой"</f>
        <v>Обшивка средней стой</v>
      </c>
      <c r="C7462">
        <v>0</v>
      </c>
      <c r="D7462">
        <v>3000.8399999999997</v>
      </c>
    </row>
    <row r="7463" spans="1:4">
      <c r="A7463" t="str">
        <f>"76915-95F0D"</f>
        <v>76915-95F0D</v>
      </c>
      <c r="B7463" t="str">
        <f>"Обшивка центральной "</f>
        <v xml:space="preserve">Обшивка центральной </v>
      </c>
      <c r="C7463">
        <v>0</v>
      </c>
      <c r="D7463">
        <v>2230.5360000000001</v>
      </c>
    </row>
    <row r="7464" spans="1:4">
      <c r="A7464" t="str">
        <f>"76916-95F0D"</f>
        <v>76916-95F0D</v>
      </c>
      <c r="B7464" t="str">
        <f>"Облицовка стойки куз"</f>
        <v>Облицовка стойки куз</v>
      </c>
      <c r="C7464">
        <v>6</v>
      </c>
      <c r="D7464">
        <v>2216.2559999999999</v>
      </c>
    </row>
    <row r="7465" spans="1:4">
      <c r="A7465" t="str">
        <f>"76934-3Y000"</f>
        <v>76934-3Y000</v>
      </c>
      <c r="B7465" t="str">
        <f>"FINISH-REAR PIL"</f>
        <v>FINISH-REAR PIL</v>
      </c>
      <c r="C7465">
        <v>1</v>
      </c>
      <c r="D7465">
        <v>1836</v>
      </c>
    </row>
    <row r="7466" spans="1:4">
      <c r="A7466" t="str">
        <f>"76984-2F100"</f>
        <v>76984-2F100</v>
      </c>
      <c r="B7466" t="str">
        <f>"CLIP"</f>
        <v>CLIP</v>
      </c>
      <c r="C7466">
        <v>20</v>
      </c>
      <c r="D7466">
        <v>80.783999999999992</v>
      </c>
    </row>
    <row r="7467" spans="1:4">
      <c r="A7467" t="str">
        <f>"76988-0U000"</f>
        <v>76988-0U000</v>
      </c>
      <c r="B7467" t="str">
        <f>"CLIP-TRIM"</f>
        <v>CLIP-TRIM</v>
      </c>
      <c r="C7467">
        <v>15</v>
      </c>
      <c r="D7467">
        <v>46.511999999999993</v>
      </c>
    </row>
    <row r="7468" spans="1:4">
      <c r="A7468" t="str">
        <f>"76988-3J000"</f>
        <v>76988-3J000</v>
      </c>
      <c r="B7468" t="str">
        <f>"CLIP-TRIM"</f>
        <v>CLIP-TRIM</v>
      </c>
      <c r="C7468">
        <v>0</v>
      </c>
      <c r="D7468">
        <v>44.064</v>
      </c>
    </row>
    <row r="7469" spans="1:4">
      <c r="A7469" t="str">
        <f>"769B0-JN25A"</f>
        <v>769B0-JN25A</v>
      </c>
      <c r="B7469" t="str">
        <f>"Накладка порога"</f>
        <v>Накладка порога</v>
      </c>
      <c r="C7469">
        <v>0</v>
      </c>
      <c r="D7469">
        <v>880.87199999999996</v>
      </c>
    </row>
    <row r="7470" spans="1:4">
      <c r="A7470" t="str">
        <f>"769B1-JN25A"</f>
        <v>769B1-JN25A</v>
      </c>
      <c r="B7470" t="str">
        <f>"Накладка порога"</f>
        <v>Накладка порога</v>
      </c>
      <c r="C7470">
        <v>4</v>
      </c>
      <c r="D7470">
        <v>898.41599999999994</v>
      </c>
    </row>
    <row r="7471" spans="1:4">
      <c r="A7471" t="str">
        <f>"769B2-JN25A"</f>
        <v>769B2-JN25A</v>
      </c>
      <c r="B7471" t="str">
        <f>"Накладка порога"</f>
        <v>Накладка порога</v>
      </c>
      <c r="C7471">
        <v>0</v>
      </c>
      <c r="D7471">
        <v>702.16800000000001</v>
      </c>
    </row>
    <row r="7472" spans="1:4">
      <c r="A7472" t="str">
        <f>"769B5-9W70A"</f>
        <v>769B5-9W70A</v>
      </c>
      <c r="B7472" t="str">
        <f>"НАКЛАДКА ПОРОГА"</f>
        <v>НАКЛАДКА ПОРОГА</v>
      </c>
      <c r="C7472">
        <v>1</v>
      </c>
      <c r="D7472">
        <v>1350.48</v>
      </c>
    </row>
    <row r="7473" spans="1:4">
      <c r="A7473" t="str">
        <f>"77004-31898"</f>
        <v>77004-31898</v>
      </c>
      <c r="B7473" t="str">
        <f>"Крышка заливной горл"</f>
        <v>Крышка заливной горл</v>
      </c>
      <c r="C7473">
        <v>1</v>
      </c>
      <c r="D7473">
        <v>337.00799999999998</v>
      </c>
    </row>
    <row r="7474" spans="1:4">
      <c r="A7474" t="str">
        <f>"77008-00QAA"</f>
        <v>77008-00QAA</v>
      </c>
      <c r="B7474" t="str">
        <f>"AIR EXTRACTOR"</f>
        <v>AIR EXTRACTOR</v>
      </c>
      <c r="C7474">
        <v>1</v>
      </c>
      <c r="D7474">
        <v>1459.0079999999998</v>
      </c>
    </row>
    <row r="7475" spans="1:4">
      <c r="A7475" t="str">
        <f>"77008-AX60A"</f>
        <v>77008-AX60A</v>
      </c>
      <c r="B7475" t="str">
        <f>"Воздухоотвод багажни"</f>
        <v>Воздухоотвод багажни</v>
      </c>
      <c r="C7475">
        <v>10</v>
      </c>
      <c r="D7475">
        <v>996.74399999999991</v>
      </c>
    </row>
    <row r="7476" spans="1:4">
      <c r="A7476" t="str">
        <f>"78100-95F0B"</f>
        <v>78100-95F0B</v>
      </c>
      <c r="B7476" t="str">
        <f>"Крыло заднее пра"</f>
        <v>Крыло заднее пра</v>
      </c>
      <c r="C7476">
        <v>3</v>
      </c>
      <c r="D7476">
        <v>20889.191999999999</v>
      </c>
    </row>
    <row r="7477" spans="1:4">
      <c r="A7477" t="str">
        <f>"78100-9M730"</f>
        <v>78100-9M730</v>
      </c>
      <c r="B7477" t="str">
        <f>"FENDER-REAR,RH"</f>
        <v>FENDER-REAR,RH</v>
      </c>
      <c r="C7477">
        <v>2</v>
      </c>
      <c r="D7477">
        <v>23023.439999999999</v>
      </c>
    </row>
    <row r="7478" spans="1:4">
      <c r="A7478" t="str">
        <f>"78101-95F0B"</f>
        <v>78101-95F0B</v>
      </c>
      <c r="B7478" t="str">
        <f>"Крыло заднее лев"</f>
        <v>Крыло заднее лев</v>
      </c>
      <c r="C7478">
        <v>1</v>
      </c>
      <c r="D7478">
        <v>20987.519999999997</v>
      </c>
    </row>
    <row r="7479" spans="1:4">
      <c r="A7479" t="str">
        <f>"78101-9Y030"</f>
        <v>78101-9Y030</v>
      </c>
      <c r="B7479" t="str">
        <f>"Крыло заднее лев"</f>
        <v>Крыло заднее лев</v>
      </c>
      <c r="C7479">
        <v>2</v>
      </c>
      <c r="D7479">
        <v>22433.064000000002</v>
      </c>
    </row>
    <row r="7480" spans="1:4">
      <c r="A7480" t="str">
        <f>"78126-8F800"</f>
        <v>78126-8F800</v>
      </c>
      <c r="B7480" t="str">
        <f>"COVER ASSY-REAR"</f>
        <v>COVER ASSY-REAR</v>
      </c>
      <c r="C7480">
        <v>2</v>
      </c>
      <c r="D7480">
        <v>1410.864</v>
      </c>
    </row>
    <row r="7481" spans="1:4">
      <c r="A7481" t="str">
        <f>"78126-AU200"</f>
        <v>78126-AU200</v>
      </c>
      <c r="B7481" t="str">
        <f>"COVER ASSY-REAR"</f>
        <v>COVER ASSY-REAR</v>
      </c>
      <c r="C7481">
        <v>1</v>
      </c>
      <c r="D7481">
        <v>3468.4079999999999</v>
      </c>
    </row>
    <row r="7482" spans="1:4">
      <c r="A7482" t="str">
        <f>"78126-AV610"</f>
        <v>78126-AV610</v>
      </c>
      <c r="B7482" t="str">
        <f>"COVER-REAR FEND"</f>
        <v>COVER-REAR FEND</v>
      </c>
      <c r="C7482">
        <v>1</v>
      </c>
      <c r="D7482">
        <v>1229.712</v>
      </c>
    </row>
    <row r="7483" spans="1:4">
      <c r="A7483" t="str">
        <f>"78127-AU200"</f>
        <v>78127-AU200</v>
      </c>
      <c r="B7483" t="str">
        <f>"COVER ASSY-REAR"</f>
        <v>COVER ASSY-REAR</v>
      </c>
      <c r="C7483">
        <v>2</v>
      </c>
      <c r="D7483">
        <v>3289.7040000000002</v>
      </c>
    </row>
    <row r="7484" spans="1:4">
      <c r="A7484" t="str">
        <f>"78127-AV610"</f>
        <v>78127-AV610</v>
      </c>
      <c r="B7484" t="str">
        <f>"COVER-REAR FEND"</f>
        <v>COVER-REAR FEND</v>
      </c>
      <c r="C7484">
        <v>2</v>
      </c>
      <c r="D7484">
        <v>847.00800000000004</v>
      </c>
    </row>
    <row r="7485" spans="1:4">
      <c r="A7485" t="str">
        <f>"78128-8M140"</f>
        <v>78128-8M140</v>
      </c>
      <c r="B7485" t="str">
        <f>"COVER ASSY,RH"</f>
        <v>COVER ASSY,RH</v>
      </c>
      <c r="C7485">
        <v>3</v>
      </c>
      <c r="D7485">
        <v>1100.7840000000001</v>
      </c>
    </row>
    <row r="7486" spans="1:4">
      <c r="A7486" t="str">
        <f>"78128-9U00H"</f>
        <v>78128-9U00H</v>
      </c>
      <c r="B7486" t="str">
        <f>"Облицовка заднего ба"</f>
        <v>Облицовка заднего ба</v>
      </c>
      <c r="C7486">
        <v>19</v>
      </c>
      <c r="D7486">
        <v>1732.3680000000002</v>
      </c>
    </row>
    <row r="7487" spans="1:4">
      <c r="A7487" t="str">
        <f>"78128-CG000"</f>
        <v>78128-CG000</v>
      </c>
      <c r="B7487" t="str">
        <f>"COVER RR RENDER"</f>
        <v>COVER RR RENDER</v>
      </c>
      <c r="C7487">
        <v>3</v>
      </c>
      <c r="D7487">
        <v>2212.9920000000002</v>
      </c>
    </row>
    <row r="7488" spans="1:4">
      <c r="A7488" t="str">
        <f>"78129-8M140"</f>
        <v>78129-8M140</v>
      </c>
      <c r="B7488" t="str">
        <f>"COVER ASSY,LH"</f>
        <v>COVER ASSY,LH</v>
      </c>
      <c r="C7488">
        <v>6</v>
      </c>
      <c r="D7488">
        <v>1088.5439999999999</v>
      </c>
    </row>
    <row r="7489" spans="1:4">
      <c r="A7489" t="str">
        <f>"78129-9U00H"</f>
        <v>78129-9U00H</v>
      </c>
      <c r="B7489" t="str">
        <f>"Облицовка заднего ба"</f>
        <v>Облицовка заднего ба</v>
      </c>
      <c r="C7489">
        <v>6</v>
      </c>
      <c r="D7489">
        <v>1606.704</v>
      </c>
    </row>
    <row r="7490" spans="1:4">
      <c r="A7490" t="str">
        <f>"78129-CG000"</f>
        <v>78129-CG000</v>
      </c>
      <c r="B7490" t="str">
        <f>"COVER RR FENDER"</f>
        <v>COVER RR FENDER</v>
      </c>
      <c r="C7490">
        <v>7</v>
      </c>
      <c r="D7490">
        <v>2181.576</v>
      </c>
    </row>
    <row r="7491" spans="1:4">
      <c r="A7491" t="str">
        <f>"78130-95F0A"</f>
        <v>78130-95F0A</v>
      </c>
      <c r="B7491" t="str">
        <f>"Лючок заливной горло"</f>
        <v>Лючок заливной горло</v>
      </c>
      <c r="C7491">
        <v>0</v>
      </c>
      <c r="D7491">
        <v>2002.8719999999998</v>
      </c>
    </row>
    <row r="7492" spans="1:4">
      <c r="A7492" t="str">
        <f>"78134-4M500"</f>
        <v>78134-4M500</v>
      </c>
      <c r="B7492" t="str">
        <f>"CORNR ASSY RR F"</f>
        <v>CORNR ASSY RR F</v>
      </c>
      <c r="C7492">
        <v>3</v>
      </c>
      <c r="D7492">
        <v>1672.8</v>
      </c>
    </row>
    <row r="7493" spans="1:4">
      <c r="A7493" t="str">
        <f>"78810-BR01A"</f>
        <v>78810-BR01A</v>
      </c>
      <c r="B7493" t="str">
        <f>"Брызговик задний"</f>
        <v>Брызговик задний</v>
      </c>
      <c r="C7493">
        <v>0</v>
      </c>
      <c r="D7493">
        <v>2580.1919999999996</v>
      </c>
    </row>
    <row r="7494" spans="1:4">
      <c r="A7494" t="str">
        <f>"78810-EB000"</f>
        <v>78810-EB000</v>
      </c>
      <c r="B7494" t="str">
        <f>"Брызговик задний пла"</f>
        <v>Брызговик задний пла</v>
      </c>
      <c r="C7494">
        <v>1</v>
      </c>
      <c r="D7494">
        <v>1900.4639999999999</v>
      </c>
    </row>
    <row r="7495" spans="1:4">
      <c r="A7495" t="str">
        <f>"78810-EB300"</f>
        <v>78810-EB300</v>
      </c>
      <c r="B7495" t="str">
        <f>"MUDGUARD SET-RE"</f>
        <v>MUDGUARD SET-RE</v>
      </c>
      <c r="C7495">
        <v>13</v>
      </c>
      <c r="D7495">
        <v>1887.4079999999999</v>
      </c>
    </row>
    <row r="7496" spans="1:4">
      <c r="A7496" t="str">
        <f>"78811-BR01A"</f>
        <v>78811-BR01A</v>
      </c>
      <c r="B7496" t="str">
        <f>"Брызговик задний пла"</f>
        <v>Брызговик задний пла</v>
      </c>
      <c r="C7496">
        <v>11</v>
      </c>
      <c r="D7496">
        <v>2603.4479999999999</v>
      </c>
    </row>
    <row r="7497" spans="1:4">
      <c r="A7497" t="str">
        <f>"78811-EB000"</f>
        <v>78811-EB000</v>
      </c>
      <c r="B7497" t="str">
        <f>"Брызговик задний пла"</f>
        <v>Брызговик задний пла</v>
      </c>
      <c r="C7497">
        <v>5</v>
      </c>
      <c r="D7497">
        <v>1901.6879999999999</v>
      </c>
    </row>
    <row r="7498" spans="1:4">
      <c r="A7498" t="str">
        <f>"78811-EB300"</f>
        <v>78811-EB300</v>
      </c>
      <c r="B7498" t="str">
        <f>"MUDGUARD SET-RE"</f>
        <v>MUDGUARD SET-RE</v>
      </c>
      <c r="C7498">
        <v>11</v>
      </c>
      <c r="D7498">
        <v>1970.2319999999997</v>
      </c>
    </row>
    <row r="7499" spans="1:4">
      <c r="A7499" t="str">
        <f>"78812-50C25"</f>
        <v>78812-50C25</v>
      </c>
      <c r="B7499" t="str">
        <f>"MUDGUARD-REAR F"</f>
        <v>MUDGUARD-REAR F</v>
      </c>
      <c r="C7499">
        <v>1</v>
      </c>
      <c r="D7499">
        <v>1447.992</v>
      </c>
    </row>
    <row r="7500" spans="1:4">
      <c r="A7500" t="str">
        <f>"78812-JG000"</f>
        <v>78812-JG000</v>
      </c>
      <c r="B7500" t="str">
        <f>"Брызговик задний пра"</f>
        <v>Брызговик задний пра</v>
      </c>
      <c r="C7500">
        <v>15</v>
      </c>
      <c r="D7500">
        <v>2743.3919999999998</v>
      </c>
    </row>
    <row r="7501" spans="1:4">
      <c r="A7501" t="str">
        <f>"78812-ZC50A"</f>
        <v>78812-ZC50A</v>
      </c>
      <c r="B7501" t="str">
        <f>"Брызговик"</f>
        <v>Брызговик</v>
      </c>
      <c r="C7501">
        <v>2</v>
      </c>
      <c r="D7501">
        <v>1556.9280000000001</v>
      </c>
    </row>
    <row r="7502" spans="1:4">
      <c r="A7502" t="str">
        <f>"78813-50C25"</f>
        <v>78813-50C25</v>
      </c>
      <c r="B7502" t="str">
        <f>"MUDGUARD-REAR F"</f>
        <v>MUDGUARD-REAR F</v>
      </c>
      <c r="C7502">
        <v>1</v>
      </c>
      <c r="D7502">
        <v>1447.992</v>
      </c>
    </row>
    <row r="7503" spans="1:4">
      <c r="A7503" t="str">
        <f>"78813-JG000"</f>
        <v>78813-JG000</v>
      </c>
      <c r="B7503" t="str">
        <f>"Брызговик задний лев"</f>
        <v>Брызговик задний лев</v>
      </c>
      <c r="C7503">
        <v>12</v>
      </c>
      <c r="D7503">
        <v>2727.48</v>
      </c>
    </row>
    <row r="7504" spans="1:4">
      <c r="A7504" t="str">
        <f>"78813-ZC50A"</f>
        <v>78813-ZC50A</v>
      </c>
      <c r="B7504" t="str">
        <f>"Брызговик"</f>
        <v>Брызговик</v>
      </c>
      <c r="C7504">
        <v>3</v>
      </c>
      <c r="D7504">
        <v>1537.752</v>
      </c>
    </row>
    <row r="7505" spans="1:4">
      <c r="A7505" t="str">
        <f>"78816-1KA0A"</f>
        <v>78816-1KA0A</v>
      </c>
      <c r="B7505" t="str">
        <f>"Заглушка бампера"</f>
        <v>Заглушка бампера</v>
      </c>
      <c r="C7505">
        <v>1</v>
      </c>
      <c r="D7505">
        <v>618.93599999999992</v>
      </c>
    </row>
    <row r="7506" spans="1:4">
      <c r="A7506" t="str">
        <f>"78816-2Y010"</f>
        <v>78816-2Y010</v>
      </c>
      <c r="B7506" t="str">
        <f>"PROTECTOR"</f>
        <v>PROTECTOR</v>
      </c>
      <c r="C7506">
        <v>2</v>
      </c>
      <c r="D7506">
        <v>327.62399999999997</v>
      </c>
    </row>
    <row r="7507" spans="1:4">
      <c r="A7507" t="str">
        <f>"78816-9U00A"</f>
        <v>78816-9U00A</v>
      </c>
      <c r="B7507" t="str">
        <f>"Защитная наклейка пл"</f>
        <v>Защитная наклейка пл</v>
      </c>
      <c r="C7507">
        <v>12</v>
      </c>
      <c r="D7507">
        <v>181.96799999999999</v>
      </c>
    </row>
    <row r="7508" spans="1:4">
      <c r="A7508" t="str">
        <f>"78817-9U00A"</f>
        <v>78817-9U00A</v>
      </c>
      <c r="B7508" t="str">
        <f>"Кожух пластиковы"</f>
        <v>Кожух пластиковы</v>
      </c>
      <c r="C7508">
        <v>10</v>
      </c>
      <c r="D7508">
        <v>183.6</v>
      </c>
    </row>
    <row r="7509" spans="1:4">
      <c r="A7509" t="str">
        <f>"78817-AX600"</f>
        <v>78817-AX600</v>
      </c>
      <c r="B7509" t="str">
        <f>"PROTECTOR-REAR"</f>
        <v>PROTECTOR-REAR</v>
      </c>
      <c r="C7509">
        <v>3</v>
      </c>
      <c r="D7509">
        <v>173.80799999999999</v>
      </c>
    </row>
    <row r="7510" spans="1:4">
      <c r="A7510" t="str">
        <f>"78818-8H300"</f>
        <v>78818-8H300</v>
      </c>
      <c r="B7510" t="str">
        <f>"CLOSING"</f>
        <v>CLOSING</v>
      </c>
      <c r="C7510">
        <v>6</v>
      </c>
      <c r="D7510">
        <v>341.49599999999998</v>
      </c>
    </row>
    <row r="7511" spans="1:4">
      <c r="A7511" t="str">
        <f>"78818-95F0A"</f>
        <v>78818-95F0A</v>
      </c>
      <c r="B7511" t="str">
        <f>"Кожух арки крыла пла"</f>
        <v>Кожух арки крыла пла</v>
      </c>
      <c r="C7511">
        <v>0</v>
      </c>
      <c r="D7511">
        <v>374.13599999999997</v>
      </c>
    </row>
    <row r="7512" spans="1:4">
      <c r="A7512" t="str">
        <f>"78818-9F500"</f>
        <v>78818-9F500</v>
      </c>
      <c r="B7512" t="str">
        <f>"CLOSING-REAR BU"</f>
        <v>CLOSING-REAR BU</v>
      </c>
      <c r="C7512">
        <v>2</v>
      </c>
      <c r="D7512">
        <v>376.584</v>
      </c>
    </row>
    <row r="7513" spans="1:4">
      <c r="A7513" t="str">
        <f>"78818-BN900"</f>
        <v>78818-BN900</v>
      </c>
      <c r="B7513" t="str">
        <f>"CLOSING-REAR BU"</f>
        <v>CLOSING-REAR BU</v>
      </c>
      <c r="C7513">
        <v>6</v>
      </c>
      <c r="D7513">
        <v>477.36</v>
      </c>
    </row>
    <row r="7514" spans="1:4">
      <c r="A7514" t="str">
        <f>"78818-CA000"</f>
        <v>78818-CA000</v>
      </c>
      <c r="B7514" t="str">
        <f>"Кожух арки крыла пла"</f>
        <v>Кожух арки крыла пла</v>
      </c>
      <c r="C7514">
        <v>0</v>
      </c>
      <c r="D7514">
        <v>337.416</v>
      </c>
    </row>
    <row r="7515" spans="1:4">
      <c r="A7515" t="str">
        <f>"78818-EL000"</f>
        <v>78818-EL000</v>
      </c>
      <c r="B7515" t="str">
        <f>"Кожух арки крыла пла"</f>
        <v>Кожух арки крыла пла</v>
      </c>
      <c r="C7515">
        <v>4</v>
      </c>
      <c r="D7515">
        <v>350.06400000000002</v>
      </c>
    </row>
    <row r="7516" spans="1:4">
      <c r="A7516" t="str">
        <f>"78818-EL30A"</f>
        <v>78818-EL30A</v>
      </c>
      <c r="B7516" t="str">
        <f>"Кожух арки крыла пла"</f>
        <v>Кожух арки крыла пла</v>
      </c>
      <c r="C7516">
        <v>0</v>
      </c>
      <c r="D7516">
        <v>483.072</v>
      </c>
    </row>
    <row r="7517" spans="1:4">
      <c r="A7517" t="str">
        <f>"78818-JD00A"</f>
        <v>78818-JD00A</v>
      </c>
      <c r="B7517" t="str">
        <f>"Кожух арки крыла пла"</f>
        <v>Кожух арки крыла пла</v>
      </c>
      <c r="C7517">
        <v>34</v>
      </c>
      <c r="D7517">
        <v>372.09599999999995</v>
      </c>
    </row>
    <row r="7518" spans="1:4">
      <c r="A7518" t="str">
        <f>"78818-JG00A"</f>
        <v>78818-JG00A</v>
      </c>
      <c r="B7518" t="str">
        <f>"Кожух арки крыла пла"</f>
        <v>Кожух арки крыла пла</v>
      </c>
      <c r="C7518">
        <v>0</v>
      </c>
      <c r="D7518">
        <v>327.21600000000001</v>
      </c>
    </row>
    <row r="7519" spans="1:4">
      <c r="A7519" t="str">
        <f>"78819-8H300"</f>
        <v>78819-8H300</v>
      </c>
      <c r="B7519" t="str">
        <f>"CLOSING"</f>
        <v>CLOSING</v>
      </c>
      <c r="C7519">
        <v>4</v>
      </c>
      <c r="D7519">
        <v>340.27199999999999</v>
      </c>
    </row>
    <row r="7520" spans="1:4">
      <c r="A7520" t="str">
        <f>"78819-95F0A"</f>
        <v>78819-95F0A</v>
      </c>
      <c r="B7520" t="str">
        <f>"Кожух арки крыла пла"</f>
        <v>Кожух арки крыла пла</v>
      </c>
      <c r="C7520">
        <v>3</v>
      </c>
      <c r="D7520">
        <v>370.05599999999998</v>
      </c>
    </row>
    <row r="7521" spans="1:4">
      <c r="A7521" t="str">
        <f>"78819-BN900"</f>
        <v>78819-BN900</v>
      </c>
      <c r="B7521" t="str">
        <f>"CLOSING-REAR BU"</f>
        <v>CLOSING-REAR BU</v>
      </c>
      <c r="C7521">
        <v>1</v>
      </c>
      <c r="D7521">
        <v>372.09599999999995</v>
      </c>
    </row>
    <row r="7522" spans="1:4">
      <c r="A7522" t="str">
        <f>"78819-CA000"</f>
        <v>78819-CA000</v>
      </c>
      <c r="B7522" t="str">
        <f>"CLOSING RR BUMP"</f>
        <v>CLOSING RR BUMP</v>
      </c>
      <c r="C7522">
        <v>4</v>
      </c>
      <c r="D7522">
        <v>472.87199999999996</v>
      </c>
    </row>
    <row r="7523" spans="1:4">
      <c r="A7523" t="str">
        <f>"78819-CG000"</f>
        <v>78819-CG000</v>
      </c>
      <c r="B7523" t="str">
        <f>"CLOSING"</f>
        <v>CLOSING</v>
      </c>
      <c r="C7523">
        <v>2</v>
      </c>
      <c r="D7523">
        <v>423.09599999999995</v>
      </c>
    </row>
    <row r="7524" spans="1:4">
      <c r="A7524" t="str">
        <f>"78819-EL30A"</f>
        <v>78819-EL30A</v>
      </c>
      <c r="B7524" t="str">
        <f>"Кожух арки крыла пла"</f>
        <v>Кожух арки крыла пла</v>
      </c>
      <c r="C7524">
        <v>6</v>
      </c>
      <c r="D7524">
        <v>553.24800000000005</v>
      </c>
    </row>
    <row r="7525" spans="1:4">
      <c r="A7525" t="str">
        <f>"78819-EM10A"</f>
        <v>78819-EM10A</v>
      </c>
      <c r="B7525" t="str">
        <f>"Кожух заднего бампер"</f>
        <v>Кожух заднего бампер</v>
      </c>
      <c r="C7525">
        <v>1</v>
      </c>
      <c r="D7525">
        <v>541.00799999999992</v>
      </c>
    </row>
    <row r="7526" spans="1:4">
      <c r="A7526" t="str">
        <f>"78819-JD00A"</f>
        <v>78819-JD00A</v>
      </c>
      <c r="B7526" t="str">
        <f>"Кожух арки крыла пла"</f>
        <v>Кожух арки крыла пла</v>
      </c>
      <c r="C7526">
        <v>12</v>
      </c>
      <c r="D7526">
        <v>365.976</v>
      </c>
    </row>
    <row r="7527" spans="1:4">
      <c r="A7527" t="str">
        <f>"78819-JG00A"</f>
        <v>78819-JG00A</v>
      </c>
      <c r="B7527" t="str">
        <f>"Кожух арки крыла пла"</f>
        <v>Кожух арки крыла пла</v>
      </c>
      <c r="C7527">
        <v>6</v>
      </c>
      <c r="D7527">
        <v>318.64800000000002</v>
      </c>
    </row>
    <row r="7528" spans="1:4">
      <c r="A7528" t="str">
        <f>"78822-9M710"</f>
        <v>78822-9M710</v>
      </c>
      <c r="B7528" t="str">
        <f>"CABLE ASSY-FUEL"</f>
        <v>CABLE ASSY-FUEL</v>
      </c>
      <c r="C7528">
        <v>3</v>
      </c>
      <c r="D7528">
        <v>1566.3119999999999</v>
      </c>
    </row>
    <row r="7529" spans="1:4">
      <c r="A7529" t="str">
        <f>"78826-7C900"</f>
        <v>78826-7C900</v>
      </c>
      <c r="B7529" t="str">
        <f>"LOCK &amp; CABLE AS"</f>
        <v>LOCK &amp; CABLE AS</v>
      </c>
      <c r="C7529">
        <v>2</v>
      </c>
      <c r="D7529">
        <v>269.68799999999999</v>
      </c>
    </row>
    <row r="7530" spans="1:4">
      <c r="A7530" t="str">
        <f>"78826-CA01B"</f>
        <v>78826-CA01B</v>
      </c>
      <c r="B7530" t="str">
        <f>"Фиксатор заливной го"</f>
        <v>Фиксатор заливной го</v>
      </c>
      <c r="C7530">
        <v>6</v>
      </c>
      <c r="D7530">
        <v>467.56799999999998</v>
      </c>
    </row>
    <row r="7531" spans="1:4">
      <c r="A7531" t="str">
        <f>"78827-8H300"</f>
        <v>78827-8H300</v>
      </c>
      <c r="B7531" t="str">
        <f>"LOCK&amp;ROD ASSY-F"</f>
        <v>LOCK&amp;ROD ASSY-F</v>
      </c>
      <c r="C7531">
        <v>2</v>
      </c>
      <c r="D7531">
        <v>849.04799999999989</v>
      </c>
    </row>
    <row r="7532" spans="1:4">
      <c r="A7532" t="str">
        <f>"78827-AX61A"</f>
        <v>78827-AX61A</v>
      </c>
      <c r="B7532" t="str">
        <f>"Тяга замка лючка топ"</f>
        <v>Тяга замка лючка топ</v>
      </c>
      <c r="C7532">
        <v>15</v>
      </c>
      <c r="D7532">
        <v>1479.4079999999999</v>
      </c>
    </row>
    <row r="7533" spans="1:4">
      <c r="A7533" t="str">
        <f>"78830-1KA0A"</f>
        <v>78830-1KA0A</v>
      </c>
      <c r="B7533" t="str">
        <f>"Лючок бензобака"</f>
        <v>Лючок бензобака</v>
      </c>
      <c r="C7533">
        <v>2</v>
      </c>
      <c r="D7533">
        <v>1616.4959999999999</v>
      </c>
    </row>
    <row r="7534" spans="1:4">
      <c r="A7534" t="str">
        <f>"78830-2Y000"</f>
        <v>78830-2Y000</v>
      </c>
      <c r="B7534" t="str">
        <f>"LID-GAS FILLER"</f>
        <v>LID-GAS FILLER</v>
      </c>
      <c r="C7534">
        <v>0</v>
      </c>
      <c r="D7534">
        <v>1541.8319999999999</v>
      </c>
    </row>
    <row r="7535" spans="1:4">
      <c r="A7535" t="str">
        <f>"78830-4M500"</f>
        <v>78830-4M500</v>
      </c>
      <c r="B7535" t="str">
        <f>"LID-GAS FILLER"</f>
        <v>LID-GAS FILLER</v>
      </c>
      <c r="C7535">
        <v>1</v>
      </c>
      <c r="D7535">
        <v>1636.896</v>
      </c>
    </row>
    <row r="7536" spans="1:4">
      <c r="A7536" t="str">
        <f>"78830-4M700"</f>
        <v>78830-4M700</v>
      </c>
      <c r="B7536" t="str">
        <f>"LID-GAS FILLER"</f>
        <v>LID-GAS FILLER</v>
      </c>
      <c r="C7536">
        <v>2</v>
      </c>
      <c r="D7536">
        <v>1500.624</v>
      </c>
    </row>
    <row r="7537" spans="1:4">
      <c r="A7537" t="str">
        <f>"78830-8H300"</f>
        <v>78830-8H300</v>
      </c>
      <c r="B7537" t="str">
        <f>"LID-GAS FILLER"</f>
        <v>LID-GAS FILLER</v>
      </c>
      <c r="C7537">
        <v>2</v>
      </c>
      <c r="D7537">
        <v>1490.0160000000001</v>
      </c>
    </row>
    <row r="7538" spans="1:4">
      <c r="A7538" t="str">
        <f>"78830-8J030"</f>
        <v>78830-8J030</v>
      </c>
      <c r="B7538" t="str">
        <f>"Лючок заливной горло"</f>
        <v>Лючок заливной горло</v>
      </c>
      <c r="C7538">
        <v>1</v>
      </c>
      <c r="D7538">
        <v>1142.3999999999999</v>
      </c>
    </row>
    <row r="7539" spans="1:4">
      <c r="A7539" t="str">
        <f>"78830-8Y80E"</f>
        <v>78830-8Y80E</v>
      </c>
      <c r="B7539" t="str">
        <f>"Лючок заливной горло"</f>
        <v>Лючок заливной горло</v>
      </c>
      <c r="C7539">
        <v>1</v>
      </c>
      <c r="D7539">
        <v>2534.0879999999997</v>
      </c>
    </row>
    <row r="7540" spans="1:4">
      <c r="A7540" t="str">
        <f>"78830-9Y000"</f>
        <v>78830-9Y000</v>
      </c>
      <c r="B7540" t="str">
        <f>"Лючок заливной горло"</f>
        <v>Лючок заливной горло</v>
      </c>
      <c r="C7540">
        <v>3</v>
      </c>
      <c r="D7540">
        <v>1479.816</v>
      </c>
    </row>
    <row r="7541" spans="1:4">
      <c r="A7541" t="str">
        <f>"78830-AU000"</f>
        <v>78830-AU000</v>
      </c>
      <c r="B7541" t="str">
        <f>"LID-GAS FILLER"</f>
        <v>LID-GAS FILLER</v>
      </c>
      <c r="C7541">
        <v>0</v>
      </c>
      <c r="D7541">
        <v>1559.376</v>
      </c>
    </row>
    <row r="7542" spans="1:4">
      <c r="A7542" t="str">
        <f>"78830-AX005"</f>
        <v>78830-AX005</v>
      </c>
      <c r="B7542" t="str">
        <f>"LID-GAS FILLER"</f>
        <v>LID-GAS FILLER</v>
      </c>
      <c r="C7542">
        <v>1</v>
      </c>
      <c r="D7542">
        <v>1169.328</v>
      </c>
    </row>
    <row r="7543" spans="1:4">
      <c r="A7543" t="str">
        <f>"78830-JG000"</f>
        <v>78830-JG000</v>
      </c>
      <c r="B7543" t="str">
        <f>"Лючок заливной горло"</f>
        <v>Лючок заливной горло</v>
      </c>
      <c r="C7543">
        <v>7</v>
      </c>
      <c r="D7543">
        <v>1473.6959999999999</v>
      </c>
    </row>
    <row r="7544" spans="1:4">
      <c r="A7544" t="str">
        <f>"78830-JN00A"</f>
        <v>78830-JN00A</v>
      </c>
      <c r="B7544" t="str">
        <f>"Лючок заливной горло"</f>
        <v>Лючок заливной горло</v>
      </c>
      <c r="C7544">
        <v>7</v>
      </c>
      <c r="D7544">
        <v>1871.088</v>
      </c>
    </row>
    <row r="7545" spans="1:4">
      <c r="A7545" t="str">
        <f>"78836-4M40A"</f>
        <v>78836-4M40A</v>
      </c>
      <c r="B7545" t="str">
        <f>"Держатель лючка бенз"</f>
        <v>Держатель лючка бенз</v>
      </c>
      <c r="C7545">
        <v>14</v>
      </c>
      <c r="D7545">
        <v>113.42399999999999</v>
      </c>
    </row>
    <row r="7546" spans="1:4">
      <c r="A7546" t="str">
        <f>"78836-50J00"</f>
        <v>78836-50J00</v>
      </c>
      <c r="B7546" t="str">
        <f>"SPR-FUEL FILLER"</f>
        <v>SPR-FUEL FILLER</v>
      </c>
      <c r="C7546">
        <v>4</v>
      </c>
      <c r="D7546">
        <v>89.759999999999991</v>
      </c>
    </row>
    <row r="7547" spans="1:4">
      <c r="A7547" t="str">
        <f>"78836-95F0A"</f>
        <v>78836-95F0A</v>
      </c>
      <c r="B7547" t="str">
        <f>"Пружина лючка заливн"</f>
        <v>Пружина лючка заливн</v>
      </c>
      <c r="C7547">
        <v>1</v>
      </c>
      <c r="D7547">
        <v>115.464</v>
      </c>
    </row>
    <row r="7548" spans="1:4">
      <c r="A7548" t="str">
        <f>"78836-JD00B"</f>
        <v>78836-JD00B</v>
      </c>
      <c r="B7548" t="str">
        <f>"Фиксатор топливного "</f>
        <v xml:space="preserve">Фиксатор топливного </v>
      </c>
      <c r="C7548">
        <v>3</v>
      </c>
      <c r="D7548">
        <v>42.431999999999995</v>
      </c>
    </row>
    <row r="7549" spans="1:4">
      <c r="A7549" t="str">
        <f>"78836-ZP40A"</f>
        <v>78836-ZP40A</v>
      </c>
      <c r="B7549" t="str">
        <f>"Держатель лючка бенз"</f>
        <v>Держатель лючка бенз</v>
      </c>
      <c r="C7549">
        <v>1</v>
      </c>
      <c r="D7549">
        <v>125.66399999999999</v>
      </c>
    </row>
    <row r="7550" spans="1:4">
      <c r="A7550" t="str">
        <f>"78850-5Y70A"</f>
        <v>78850-5Y70A</v>
      </c>
      <c r="B7550" t="str">
        <f>"Замок лючка заливн г"</f>
        <v>Замок лючка заливн г</v>
      </c>
      <c r="C7550">
        <v>79</v>
      </c>
      <c r="D7550">
        <v>2866.6080000000002</v>
      </c>
    </row>
    <row r="7551" spans="1:4">
      <c r="A7551" t="str">
        <f>"78850-AM80B"</f>
        <v>78850-AM80B</v>
      </c>
      <c r="B7551" t="str">
        <f>"Замок лючка заливн г"</f>
        <v>Замок лючка заливн г</v>
      </c>
      <c r="C7551">
        <v>15</v>
      </c>
      <c r="D7551">
        <v>2864.5679999999998</v>
      </c>
    </row>
    <row r="7552" spans="1:4">
      <c r="A7552" t="str">
        <f>"78854-AV600"</f>
        <v>78854-AV600</v>
      </c>
      <c r="B7552" t="str">
        <f>"DRAFTER ASSY-AI"</f>
        <v>DRAFTER ASSY-AI</v>
      </c>
      <c r="C7552">
        <v>3</v>
      </c>
      <c r="D7552">
        <v>1018.776</v>
      </c>
    </row>
    <row r="7553" spans="1:4">
      <c r="A7553" t="str">
        <f>"78860-1BA0A"</f>
        <v>78860-1BA0A</v>
      </c>
      <c r="B7553" t="str">
        <f>"Накладка колесной ар"</f>
        <v>Накладка колесной ар</v>
      </c>
      <c r="C7553">
        <v>1</v>
      </c>
      <c r="D7553">
        <v>3271.3439999999996</v>
      </c>
    </row>
    <row r="7554" spans="1:4">
      <c r="A7554" t="str">
        <f>"78860-1CB0A"</f>
        <v>78860-1CB0A</v>
      </c>
      <c r="B7554" t="str">
        <f>"Накладка колесной ар"</f>
        <v>Накладка колесной ар</v>
      </c>
      <c r="C7554">
        <v>3</v>
      </c>
      <c r="D7554">
        <v>1849.056</v>
      </c>
    </row>
    <row r="7555" spans="1:4">
      <c r="A7555" t="str">
        <f>"78860-1KA6A"</f>
        <v>78860-1KA6A</v>
      </c>
      <c r="B7555" t="str">
        <f>"MOULDING-FILLET"</f>
        <v>MOULDING-FILLET</v>
      </c>
      <c r="C7555">
        <v>0</v>
      </c>
      <c r="D7555">
        <v>1515.3119999999999</v>
      </c>
    </row>
    <row r="7556" spans="1:4">
      <c r="A7556" t="str">
        <f>"78860-CG000"</f>
        <v>78860-CG000</v>
      </c>
      <c r="B7556" t="str">
        <f>"MLDG-FILLET RR"</f>
        <v>MLDG-FILLET RR</v>
      </c>
      <c r="C7556">
        <v>0</v>
      </c>
      <c r="D7556">
        <v>2678.9279999999999</v>
      </c>
    </row>
    <row r="7557" spans="1:4">
      <c r="A7557" t="str">
        <f>"78861-1BA0A"</f>
        <v>78861-1BA0A</v>
      </c>
      <c r="B7557" t="str">
        <f>"Накладка колесной ар"</f>
        <v>Накладка колесной ар</v>
      </c>
      <c r="C7557">
        <v>2</v>
      </c>
      <c r="D7557">
        <v>3176.28</v>
      </c>
    </row>
    <row r="7558" spans="1:4">
      <c r="A7558" t="str">
        <f>"78861-1CB0A"</f>
        <v>78861-1CB0A</v>
      </c>
      <c r="B7558" t="str">
        <f>"Накладка колесной ар"</f>
        <v>Накладка колесной ар</v>
      </c>
      <c r="C7558">
        <v>6</v>
      </c>
      <c r="D7558">
        <v>1849.056</v>
      </c>
    </row>
    <row r="7559" spans="1:4">
      <c r="A7559" t="str">
        <f>"78861-1KA6A"</f>
        <v>78861-1KA6A</v>
      </c>
      <c r="B7559" t="str">
        <f>"Накладка колесной ар"</f>
        <v>Накладка колесной ар</v>
      </c>
      <c r="C7559">
        <v>0</v>
      </c>
      <c r="D7559">
        <v>1488.7920000000001</v>
      </c>
    </row>
    <row r="7560" spans="1:4">
      <c r="A7560" t="str">
        <f>"78861-CG000"</f>
        <v>78861-CG000</v>
      </c>
      <c r="B7560" t="str">
        <f>"MLDG-FILLET RR"</f>
        <v>MLDG-FILLET RR</v>
      </c>
      <c r="C7560">
        <v>7</v>
      </c>
      <c r="D7560">
        <v>1849.056</v>
      </c>
    </row>
    <row r="7561" spans="1:4">
      <c r="A7561" t="str">
        <f>"78868-CG000"</f>
        <v>78868-CG000</v>
      </c>
      <c r="B7561" t="str">
        <f>"Пистон надкрылка"</f>
        <v>Пистон надкрылка</v>
      </c>
      <c r="C7561">
        <v>20</v>
      </c>
      <c r="D7561">
        <v>35.495999999999995</v>
      </c>
    </row>
    <row r="7562" spans="1:4">
      <c r="A7562" t="str">
        <f>"78868-CG005"</f>
        <v>78868-CG005</v>
      </c>
      <c r="B7562" t="str">
        <f>"Пистон надкрылка"</f>
        <v>Пистон надкрылка</v>
      </c>
      <c r="C7562">
        <v>22</v>
      </c>
      <c r="D7562">
        <v>27.744</v>
      </c>
    </row>
    <row r="7563" spans="1:4">
      <c r="A7563" t="str">
        <f>"78876-CD000"</f>
        <v>78876-CD000</v>
      </c>
      <c r="B7563" t="str">
        <f>"Кожух порога"</f>
        <v>Кожух порога</v>
      </c>
      <c r="C7563">
        <v>2</v>
      </c>
      <c r="D7563">
        <v>353.73599999999993</v>
      </c>
    </row>
    <row r="7564" spans="1:4">
      <c r="A7564" t="str">
        <f>"78876-JK00A"</f>
        <v>78876-JK00A</v>
      </c>
      <c r="B7564" t="str">
        <f>"Кожух порога"</f>
        <v>Кожух порога</v>
      </c>
      <c r="C7564">
        <v>2</v>
      </c>
      <c r="D7564">
        <v>497.35199999999998</v>
      </c>
    </row>
    <row r="7565" spans="1:4">
      <c r="A7565" t="str">
        <f>"78877-JK00A"</f>
        <v>78877-JK00A</v>
      </c>
      <c r="B7565" t="str">
        <f>"Кожух порога"</f>
        <v>Кожух порога</v>
      </c>
      <c r="C7565">
        <v>5</v>
      </c>
      <c r="D7565">
        <v>502.65599999999995</v>
      </c>
    </row>
    <row r="7566" spans="1:4">
      <c r="A7566" t="str">
        <f>"79110-4M560"</f>
        <v>79110-4M560</v>
      </c>
      <c r="B7566" t="str">
        <f>"PANEL-REAR,UPPE"</f>
        <v>PANEL-REAR,UPPE</v>
      </c>
      <c r="C7566">
        <v>0</v>
      </c>
      <c r="D7566">
        <v>7007.808</v>
      </c>
    </row>
    <row r="7567" spans="1:4">
      <c r="A7567" t="str">
        <f>"79110-8H310"</f>
        <v>79110-8H310</v>
      </c>
      <c r="B7567" t="str">
        <f>"PANEL-REAR UPPE"</f>
        <v>PANEL-REAR UPPE</v>
      </c>
      <c r="C7567">
        <v>6</v>
      </c>
      <c r="D7567">
        <v>7825.848</v>
      </c>
    </row>
    <row r="7568" spans="1:4">
      <c r="A7568" t="str">
        <f>"79110-95F0B"</f>
        <v>79110-95F0B</v>
      </c>
      <c r="B7568" t="str">
        <f>"Панель кузова задняя"</f>
        <v>Панель кузова задняя</v>
      </c>
      <c r="C7568">
        <v>0</v>
      </c>
      <c r="D7568">
        <v>5341.9439999999995</v>
      </c>
    </row>
    <row r="7569" spans="1:4">
      <c r="A7569" t="str">
        <f>"79110-9W50A"</f>
        <v>79110-9W50A</v>
      </c>
      <c r="B7569" t="str">
        <f>"Панель кузова задняя"</f>
        <v>Панель кузова задняя</v>
      </c>
      <c r="C7569">
        <v>5</v>
      </c>
      <c r="D7569">
        <v>8040.0479999999998</v>
      </c>
    </row>
    <row r="7570" spans="1:4">
      <c r="A7570" t="str">
        <f>"79110-AV630"</f>
        <v>79110-AV630</v>
      </c>
      <c r="B7570" t="str">
        <f>"PANEL-REAR,UPPE"</f>
        <v>PANEL-REAR,UPPE</v>
      </c>
      <c r="C7570">
        <v>2</v>
      </c>
      <c r="D7570">
        <v>8348.4959999999992</v>
      </c>
    </row>
    <row r="7571" spans="1:4">
      <c r="A7571" t="str">
        <f>"79110-CG000"</f>
        <v>79110-CG000</v>
      </c>
      <c r="B7571" t="str">
        <f>"PANEL RR UPPER"</f>
        <v>PANEL RR UPPER</v>
      </c>
      <c r="C7571">
        <v>0</v>
      </c>
      <c r="D7571">
        <v>8304.84</v>
      </c>
    </row>
    <row r="7572" spans="1:4">
      <c r="A7572" t="str">
        <f>"79110-JG000"</f>
        <v>79110-JG000</v>
      </c>
      <c r="B7572" t="str">
        <f>"Панель кузова задняя"</f>
        <v>Панель кузова задняя</v>
      </c>
      <c r="C7572">
        <v>7</v>
      </c>
      <c r="D7572">
        <v>6894.3839999999991</v>
      </c>
    </row>
    <row r="7573" spans="1:4">
      <c r="A7573" t="str">
        <f>"79110-JK00A"</f>
        <v>79110-JK00A</v>
      </c>
      <c r="B7573" t="str">
        <f>"Панель кузова задняя"</f>
        <v>Панель кузова задняя</v>
      </c>
      <c r="C7573">
        <v>0</v>
      </c>
      <c r="D7573">
        <v>13775.304</v>
      </c>
    </row>
    <row r="7574" spans="1:4">
      <c r="A7574" t="str">
        <f>"79110-JN90A"</f>
        <v>79110-JN90A</v>
      </c>
      <c r="B7574" t="str">
        <f>"Панель кузова задняя"</f>
        <v>Панель кузова задняя</v>
      </c>
      <c r="C7574">
        <v>2</v>
      </c>
      <c r="D7574">
        <v>8332.1759999999995</v>
      </c>
    </row>
    <row r="7575" spans="1:4">
      <c r="A7575" t="str">
        <f>"79122-9U00A"</f>
        <v>79122-9U00A</v>
      </c>
      <c r="B7575" t="str">
        <f>"Усилитель задней пан"</f>
        <v>Усилитель задней пан</v>
      </c>
      <c r="C7575">
        <v>0</v>
      </c>
      <c r="D7575">
        <v>5137.9439999999995</v>
      </c>
    </row>
    <row r="7576" spans="1:4">
      <c r="A7576" t="str">
        <f>"79122-AX600"</f>
        <v>79122-AX600</v>
      </c>
      <c r="B7576" t="str">
        <f>"REAR PANEL-LOWE"</f>
        <v>REAR PANEL-LOWE</v>
      </c>
      <c r="C7576">
        <v>4</v>
      </c>
      <c r="D7576">
        <v>5126.5200000000004</v>
      </c>
    </row>
    <row r="7577" spans="1:4">
      <c r="A7577" t="str">
        <f>"79122-EL10A"</f>
        <v>79122-EL10A</v>
      </c>
      <c r="B7577" t="str">
        <f>"Панель кузова"</f>
        <v>Панель кузова</v>
      </c>
      <c r="C7577">
        <v>2</v>
      </c>
      <c r="D7577">
        <v>612.4079999999999</v>
      </c>
    </row>
    <row r="7578" spans="1:4">
      <c r="A7578" t="str">
        <f>"79182-4M400"</f>
        <v>79182-4M400</v>
      </c>
      <c r="B7578" t="str">
        <f>"BRKT-RR BUMPER"</f>
        <v>BRKT-RR BUMPER</v>
      </c>
      <c r="C7578">
        <v>3</v>
      </c>
      <c r="D7578">
        <v>258.67199999999997</v>
      </c>
    </row>
    <row r="7579" spans="1:4">
      <c r="A7579" t="str">
        <f>"79182-4M410"</f>
        <v>79182-4M410</v>
      </c>
      <c r="B7579" t="str">
        <f>"BRKT-RR BUMPER"</f>
        <v>BRKT-RR BUMPER</v>
      </c>
      <c r="C7579">
        <v>2</v>
      </c>
      <c r="D7579">
        <v>255</v>
      </c>
    </row>
    <row r="7580" spans="1:4">
      <c r="A7580" t="str">
        <f>"79183-JD000"</f>
        <v>79183-JD000</v>
      </c>
      <c r="B7580" t="str">
        <f>"Кронштейн бампер"</f>
        <v>Кронштейн бампер</v>
      </c>
      <c r="C7580">
        <v>0</v>
      </c>
      <c r="D7580">
        <v>320.68799999999999</v>
      </c>
    </row>
    <row r="7581" spans="1:4">
      <c r="A7581" t="str">
        <f>"79183-JG00A"</f>
        <v>79183-JG00A</v>
      </c>
      <c r="B7581" t="str">
        <f>"Кронштейн бампер"</f>
        <v>Кронштейн бампер</v>
      </c>
      <c r="C7581">
        <v>4</v>
      </c>
      <c r="D7581">
        <v>1391.28</v>
      </c>
    </row>
    <row r="7582" spans="1:4">
      <c r="A7582" t="str">
        <f>"79184-JD000"</f>
        <v>79184-JD000</v>
      </c>
      <c r="B7582" t="str">
        <f>"Кронштейн бампер"</f>
        <v>Кронштейн бампер</v>
      </c>
      <c r="C7582">
        <v>7</v>
      </c>
      <c r="D7582">
        <v>906.57600000000002</v>
      </c>
    </row>
    <row r="7583" spans="1:4">
      <c r="A7583" t="str">
        <f>"79185-4M500"</f>
        <v>79185-4M500</v>
      </c>
      <c r="B7583" t="str">
        <f>"BRKT-RR BUMPER"</f>
        <v>BRKT-RR BUMPER</v>
      </c>
      <c r="C7583">
        <v>1</v>
      </c>
      <c r="D7583">
        <v>208.89600000000002</v>
      </c>
    </row>
    <row r="7584" spans="1:4">
      <c r="A7584" t="str">
        <f>"79185-4M510"</f>
        <v>79185-4M510</v>
      </c>
      <c r="B7584" t="str">
        <f>"BRKT-RR BUMPER"</f>
        <v>BRKT-RR BUMPER</v>
      </c>
      <c r="C7584">
        <v>2</v>
      </c>
      <c r="D7584">
        <v>209.71199999999999</v>
      </c>
    </row>
    <row r="7585" spans="1:4">
      <c r="A7585" t="str">
        <f>"79185-JD000"</f>
        <v>79185-JD000</v>
      </c>
      <c r="B7585" t="str">
        <f>"Кронштейн бампер"</f>
        <v>Кронштейн бампер</v>
      </c>
      <c r="C7585">
        <v>7</v>
      </c>
      <c r="D7585">
        <v>910.24799999999993</v>
      </c>
    </row>
    <row r="7586" spans="1:4">
      <c r="A7586" t="str">
        <f>"79431-AV630"</f>
        <v>79431-AV630</v>
      </c>
      <c r="B7586" t="str">
        <f>"PARCEL SHELF-SI"</f>
        <v>PARCEL SHELF-SI</v>
      </c>
      <c r="C7586">
        <v>2</v>
      </c>
      <c r="D7586">
        <v>1346.3999999999999</v>
      </c>
    </row>
    <row r="7587" spans="1:4">
      <c r="A7587" t="str">
        <f>"79700-EL100"</f>
        <v>79700-EL100</v>
      </c>
      <c r="B7587" t="str">
        <f>"Стекло заднее"</f>
        <v>Стекло заднее</v>
      </c>
      <c r="C7587">
        <v>0</v>
      </c>
      <c r="D7587">
        <v>23931.24</v>
      </c>
    </row>
    <row r="7588" spans="1:4">
      <c r="A7588" t="str">
        <f>"79713-95F0A"</f>
        <v>79713-95F0A</v>
      </c>
      <c r="B7588" t="str">
        <f>"Стекло ветровое задн"</f>
        <v>Стекло ветровое задн</v>
      </c>
      <c r="C7588">
        <v>2</v>
      </c>
      <c r="D7588">
        <v>20165.399999999998</v>
      </c>
    </row>
    <row r="7589" spans="1:4">
      <c r="A7589" t="str">
        <f>"79716-EL100"</f>
        <v>79716-EL100</v>
      </c>
      <c r="B7589" t="str">
        <f>"Уплотнитель заднего "</f>
        <v xml:space="preserve">Уплотнитель заднего </v>
      </c>
      <c r="C7589">
        <v>5</v>
      </c>
      <c r="D7589">
        <v>515.30399999999997</v>
      </c>
    </row>
    <row r="7590" spans="1:4">
      <c r="A7590" t="str">
        <f>"79750-2Y010"</f>
        <v>79750-2Y010</v>
      </c>
      <c r="B7590" t="str">
        <f>"MLDG ASSY-RR WD"</f>
        <v>MLDG ASSY-RR WD</v>
      </c>
      <c r="C7590">
        <v>5</v>
      </c>
      <c r="D7590">
        <v>1649.952</v>
      </c>
    </row>
    <row r="7591" spans="1:4">
      <c r="A7591" t="str">
        <f>"79750-6P000"</f>
        <v>79750-6P000</v>
      </c>
      <c r="B7591" t="str">
        <f>"Молдинг заднего стек"</f>
        <v>Молдинг заднего стек</v>
      </c>
      <c r="C7591">
        <v>1</v>
      </c>
      <c r="D7591">
        <v>1676.88</v>
      </c>
    </row>
    <row r="7592" spans="1:4">
      <c r="A7592" t="str">
        <f>"79750-95F0A"</f>
        <v>79750-95F0A</v>
      </c>
      <c r="B7592" t="str">
        <f>"Молдинг заднего стек"</f>
        <v>Молдинг заднего стек</v>
      </c>
      <c r="C7592">
        <v>10</v>
      </c>
      <c r="D7592">
        <v>2565.096</v>
      </c>
    </row>
    <row r="7593" spans="1:4">
      <c r="A7593" t="str">
        <f>"79750-9Y000"</f>
        <v>79750-9Y000</v>
      </c>
      <c r="B7593" t="str">
        <f>"Молдинг заднего стек"</f>
        <v>Молдинг заднего стек</v>
      </c>
      <c r="C7593">
        <v>10</v>
      </c>
      <c r="D7593">
        <v>1862.5199999999998</v>
      </c>
    </row>
    <row r="7594" spans="1:4">
      <c r="A7594" t="str">
        <f>"79750-EL100"</f>
        <v>79750-EL100</v>
      </c>
      <c r="B7594" t="str">
        <f>"Молдинг заднего стек"</f>
        <v>Молдинг заднего стек</v>
      </c>
      <c r="C7594">
        <v>4</v>
      </c>
      <c r="D7594">
        <v>1884.9599999999998</v>
      </c>
    </row>
    <row r="7595" spans="1:4">
      <c r="A7595" t="str">
        <f>"79752-0N800"</f>
        <v>79752-0N800</v>
      </c>
      <c r="B7595" t="str">
        <f>"MOULDING-REAR W"</f>
        <v>MOULDING-REAR W</v>
      </c>
      <c r="C7595">
        <v>2</v>
      </c>
      <c r="D7595">
        <v>540.19200000000001</v>
      </c>
    </row>
    <row r="7596" spans="1:4">
      <c r="A7596" t="str">
        <f>"79752-40U10"</f>
        <v>79752-40U10</v>
      </c>
      <c r="B7596" t="str">
        <f>"MOULDING-REAR W"</f>
        <v>MOULDING-REAR W</v>
      </c>
      <c r="C7596">
        <v>1</v>
      </c>
      <c r="D7596">
        <v>913.10399999999993</v>
      </c>
    </row>
    <row r="7597" spans="1:4">
      <c r="A7597" t="str">
        <f>"79780-0N810"</f>
        <v>79780-0N810</v>
      </c>
      <c r="B7597" t="str">
        <f>"FASTENER-MOUL"</f>
        <v>FASTENER-MOUL</v>
      </c>
      <c r="C7597">
        <v>1</v>
      </c>
      <c r="D7597">
        <v>1764.6</v>
      </c>
    </row>
    <row r="7598" spans="1:4">
      <c r="A7598" t="str">
        <f>"79780-2J020"</f>
        <v>79780-2J020</v>
      </c>
      <c r="B7598" t="str">
        <f>"FASTENER-MOUL"</f>
        <v>FASTENER-MOUL</v>
      </c>
      <c r="C7598">
        <v>1</v>
      </c>
      <c r="D7598">
        <v>1857.2159999999999</v>
      </c>
    </row>
    <row r="7599" spans="1:4">
      <c r="A7599" t="str">
        <f>"79914-VB000"</f>
        <v>79914-VB000</v>
      </c>
      <c r="B7599" t="str">
        <f>"HOLDER-FR,RH"</f>
        <v>HOLDER-FR,RH</v>
      </c>
      <c r="C7599">
        <v>1</v>
      </c>
      <c r="D7599">
        <v>500.61599999999999</v>
      </c>
    </row>
    <row r="7600" spans="1:4">
      <c r="A7600" t="str">
        <f>"79916-JD00A"</f>
        <v>79916-JD00A</v>
      </c>
      <c r="B7600" t="str">
        <f>"Держатель обшивк"</f>
        <v>Держатель обшивк</v>
      </c>
      <c r="C7600">
        <v>0</v>
      </c>
      <c r="D7600">
        <v>52.224000000000004</v>
      </c>
    </row>
    <row r="7601" spans="1:4">
      <c r="A7601" t="str">
        <f>"79916-VB000"</f>
        <v>79916-VB000</v>
      </c>
      <c r="B7601" t="str">
        <f>"HOLDER-REAR RH"</f>
        <v>HOLDER-REAR RH</v>
      </c>
      <c r="C7601">
        <v>2</v>
      </c>
      <c r="D7601">
        <v>503.47199999999998</v>
      </c>
    </row>
    <row r="7602" spans="1:4">
      <c r="A7602" t="str">
        <f>"79917-VB001"</f>
        <v>79917-VB001</v>
      </c>
      <c r="B7602" t="str">
        <f>"HOLDER-REAR PAR"</f>
        <v>HOLDER-REAR PAR</v>
      </c>
      <c r="C7602">
        <v>2</v>
      </c>
      <c r="D7602">
        <v>504.28800000000001</v>
      </c>
    </row>
    <row r="7603" spans="1:4">
      <c r="A7603" t="str">
        <f>"79965-JD10A"</f>
        <v>79965-JD10A</v>
      </c>
      <c r="B7603" t="str">
        <f>"Держатель полки бага"</f>
        <v>Держатель полки бага</v>
      </c>
      <c r="C7603">
        <v>11</v>
      </c>
      <c r="D7603">
        <v>180.744</v>
      </c>
    </row>
    <row r="7604" spans="1:4">
      <c r="A7604" t="str">
        <f>"80100-95F0C"</f>
        <v>80100-95F0C</v>
      </c>
      <c r="B7604" t="str">
        <f>"Дверь передняя права"</f>
        <v>Дверь передняя права</v>
      </c>
      <c r="C7604">
        <v>0</v>
      </c>
      <c r="D7604">
        <v>14661.887999999999</v>
      </c>
    </row>
    <row r="7605" spans="1:4">
      <c r="A7605" t="str">
        <f>"80100-95F0D"</f>
        <v>80100-95F0D</v>
      </c>
      <c r="B7605" t="str">
        <f>""</f>
        <v/>
      </c>
      <c r="C7605">
        <v>2</v>
      </c>
      <c r="D7605">
        <v>14661.887999999999</v>
      </c>
    </row>
    <row r="7606" spans="1:4">
      <c r="A7606" t="str">
        <f>"80100-AX130"</f>
        <v>80100-AX130</v>
      </c>
      <c r="B7606" t="str">
        <f>"DOOR-FRONT,RH"</f>
        <v>DOOR-FRONT,RH</v>
      </c>
      <c r="C7606">
        <v>1</v>
      </c>
      <c r="D7606">
        <v>9217.5360000000001</v>
      </c>
    </row>
    <row r="7607" spans="1:4">
      <c r="A7607" t="str">
        <f>"80101-5M432"</f>
        <v>80101-5M432</v>
      </c>
      <c r="B7607" t="str">
        <f>"DOOR-FRONT,LH"</f>
        <v>DOOR-FRONT,LH</v>
      </c>
      <c r="C7607">
        <v>1</v>
      </c>
      <c r="D7607">
        <v>9143.2799999999988</v>
      </c>
    </row>
    <row r="7608" spans="1:4">
      <c r="A7608" t="str">
        <f>"80101-95F0C"</f>
        <v>80101-95F0C</v>
      </c>
      <c r="B7608" t="str">
        <f>"Дверь передняя левая"</f>
        <v>Дверь передняя левая</v>
      </c>
      <c r="C7608">
        <v>1</v>
      </c>
      <c r="D7608">
        <v>15308.159999999998</v>
      </c>
    </row>
    <row r="7609" spans="1:4">
      <c r="A7609" t="str">
        <f>"80101-AX130"</f>
        <v>80101-AX130</v>
      </c>
      <c r="B7609" t="str">
        <f>"DOOR-FRONT,LH"</f>
        <v>DOOR-FRONT,LH</v>
      </c>
      <c r="C7609">
        <v>1</v>
      </c>
      <c r="D7609">
        <v>9217.5360000000001</v>
      </c>
    </row>
    <row r="7610" spans="1:4">
      <c r="A7610" t="str">
        <f>"80101-BA030"</f>
        <v>80101-BA030</v>
      </c>
      <c r="B7610" t="str">
        <f>"DOOR-FRONT,LH"</f>
        <v>DOOR-FRONT,LH</v>
      </c>
      <c r="C7610">
        <v>1</v>
      </c>
      <c r="D7610">
        <v>15814.895999999999</v>
      </c>
    </row>
    <row r="7611" spans="1:4">
      <c r="A7611" t="str">
        <f>"80214-BM600"</f>
        <v>80214-BM600</v>
      </c>
      <c r="B7611" t="str">
        <f>"SASH ASSY-FRONT"</f>
        <v>SASH ASSY-FRONT</v>
      </c>
      <c r="C7611">
        <v>1</v>
      </c>
      <c r="D7611">
        <v>844.15200000000004</v>
      </c>
    </row>
    <row r="7612" spans="1:4">
      <c r="A7612" t="str">
        <f>"80282-1CA0A"</f>
        <v>80282-1CA0A</v>
      </c>
      <c r="B7612" t="str">
        <f>"Молдинг двери"</f>
        <v>Молдинг двери</v>
      </c>
      <c r="C7612">
        <v>1</v>
      </c>
      <c r="D7612">
        <v>2811.9360000000001</v>
      </c>
    </row>
    <row r="7613" spans="1:4">
      <c r="A7613" t="str">
        <f>"80282-1CA0B"</f>
        <v>80282-1CA0B</v>
      </c>
      <c r="B7613" t="str">
        <f>"Молдинг двери"</f>
        <v>Молдинг двери</v>
      </c>
      <c r="C7613">
        <v>0</v>
      </c>
      <c r="D7613">
        <v>2811.9360000000001</v>
      </c>
    </row>
    <row r="7614" spans="1:4">
      <c r="A7614" t="str">
        <f>"80282-CL70A"</f>
        <v>80282-CL70A</v>
      </c>
      <c r="B7614" t="str">
        <f>"Молдинг двери"</f>
        <v>Молдинг двери</v>
      </c>
      <c r="C7614">
        <v>3</v>
      </c>
      <c r="D7614">
        <v>2478.1919999999996</v>
      </c>
    </row>
    <row r="7615" spans="1:4">
      <c r="A7615" t="str">
        <f>"80283-1CA0B"</f>
        <v>80283-1CA0B</v>
      </c>
      <c r="B7615" t="str">
        <f>"Молдинг"</f>
        <v>Молдинг</v>
      </c>
      <c r="C7615">
        <v>0</v>
      </c>
      <c r="D7615">
        <v>3022.8719999999998</v>
      </c>
    </row>
    <row r="7616" spans="1:4">
      <c r="A7616" t="str">
        <f>"80283-CL70A"</f>
        <v>80283-CL70A</v>
      </c>
      <c r="B7616" t="str">
        <f>"Молдинг двери"</f>
        <v>Молдинг двери</v>
      </c>
      <c r="C7616">
        <v>1</v>
      </c>
      <c r="D7616">
        <v>3072.6479999999997</v>
      </c>
    </row>
    <row r="7617" spans="1:4">
      <c r="A7617" t="str">
        <f>"80292-7S000"</f>
        <v>80292-7S000</v>
      </c>
      <c r="B7617" t="str">
        <f>"COVER-FR DOOR C"</f>
        <v>COVER-FR DOOR C</v>
      </c>
      <c r="C7617">
        <v>0</v>
      </c>
      <c r="D7617">
        <v>714</v>
      </c>
    </row>
    <row r="7618" spans="1:4">
      <c r="A7618" t="str">
        <f>"80292-AC80A"</f>
        <v>80292-AC80A</v>
      </c>
      <c r="B7618" t="str">
        <f>"COVER-FRONT DOO"</f>
        <v>COVER-FRONT DOO</v>
      </c>
      <c r="C7618">
        <v>1</v>
      </c>
      <c r="D7618">
        <v>1772.76</v>
      </c>
    </row>
    <row r="7619" spans="1:4">
      <c r="A7619" t="str">
        <f>"80292-JD000"</f>
        <v>80292-JD000</v>
      </c>
      <c r="B7619" t="str">
        <f>"Наклейка двери защит"</f>
        <v>Наклейка двери защит</v>
      </c>
      <c r="C7619">
        <v>1</v>
      </c>
      <c r="D7619">
        <v>1004.496</v>
      </c>
    </row>
    <row r="7620" spans="1:4">
      <c r="A7620" t="str">
        <f>"80293-7S000"</f>
        <v>80293-7S000</v>
      </c>
      <c r="B7620" t="str">
        <f>"COVER-FR DOOR C"</f>
        <v>COVER-FR DOOR C</v>
      </c>
      <c r="C7620">
        <v>0</v>
      </c>
      <c r="D7620">
        <v>714.40800000000002</v>
      </c>
    </row>
    <row r="7621" spans="1:4">
      <c r="A7621" t="str">
        <f>"802D2-1CA0A"</f>
        <v>802D2-1CA0A</v>
      </c>
      <c r="B7621" t="str">
        <f>"Облицовка передней д"</f>
        <v>Облицовка передней д</v>
      </c>
      <c r="C7621">
        <v>0</v>
      </c>
      <c r="D7621">
        <v>1239.912</v>
      </c>
    </row>
    <row r="7622" spans="1:4">
      <c r="A7622" t="str">
        <f>"80300-1AA0A"</f>
        <v>80300-1AA0A</v>
      </c>
      <c r="B7622" t="str">
        <f>"Стекло передней двер"</f>
        <v>Стекло передней двер</v>
      </c>
      <c r="C7622">
        <v>0</v>
      </c>
      <c r="D7622">
        <v>13362</v>
      </c>
    </row>
    <row r="7623" spans="1:4">
      <c r="A7623" t="str">
        <f>"80300-1BA0A"</f>
        <v>80300-1BA0A</v>
      </c>
      <c r="B7623" t="str">
        <f>"Стекло передней прав"</f>
        <v>Стекло передней прав</v>
      </c>
      <c r="C7623">
        <v>1</v>
      </c>
      <c r="D7623">
        <v>7160.4</v>
      </c>
    </row>
    <row r="7624" spans="1:4">
      <c r="A7624" t="str">
        <f>"80300-1CA0B"</f>
        <v>80300-1CA0B</v>
      </c>
      <c r="B7624" t="str">
        <f>"Стекло боковое"</f>
        <v>Стекло боковое</v>
      </c>
      <c r="C7624">
        <v>0</v>
      </c>
      <c r="D7624">
        <v>13559.063999999998</v>
      </c>
    </row>
    <row r="7625" spans="1:4">
      <c r="A7625" t="str">
        <f>"80300-3Y56A"</f>
        <v>80300-3Y56A</v>
      </c>
      <c r="B7625" t="str">
        <f>"Стекло передней прав"</f>
        <v>Стекло передней прав</v>
      </c>
      <c r="C7625">
        <v>2</v>
      </c>
      <c r="D7625">
        <v>9384</v>
      </c>
    </row>
    <row r="7626" spans="1:4">
      <c r="A7626" t="str">
        <f>"80300-4M701"</f>
        <v>80300-4M701</v>
      </c>
      <c r="B7626" t="str">
        <f>"GLASS-FR DOOR,R"</f>
        <v>GLASS-FR DOOR,R</v>
      </c>
      <c r="C7626">
        <v>1</v>
      </c>
      <c r="D7626">
        <v>5783.4</v>
      </c>
    </row>
    <row r="7627" spans="1:4">
      <c r="A7627" t="str">
        <f>"80300-7S000"</f>
        <v>80300-7S000</v>
      </c>
      <c r="B7627" t="str">
        <f>"GLASS ASSY - DO"</f>
        <v>GLASS ASSY - DO</v>
      </c>
      <c r="C7627">
        <v>2</v>
      </c>
      <c r="D7627">
        <v>5172.2160000000003</v>
      </c>
    </row>
    <row r="7628" spans="1:4">
      <c r="A7628" t="str">
        <f>"80300-8H30A"</f>
        <v>80300-8H30A</v>
      </c>
      <c r="B7628" t="str">
        <f>"Стекло передней прав"</f>
        <v>Стекло передней прав</v>
      </c>
      <c r="C7628">
        <v>4</v>
      </c>
      <c r="D7628">
        <v>10799.351999999999</v>
      </c>
    </row>
    <row r="7629" spans="1:4">
      <c r="A7629" t="str">
        <f>"80300-95F0A"</f>
        <v>80300-95F0A</v>
      </c>
      <c r="B7629" t="str">
        <f>"Стекло передней прав"</f>
        <v>Стекло передней прав</v>
      </c>
      <c r="C7629">
        <v>2</v>
      </c>
      <c r="D7629">
        <v>7964.9759999999987</v>
      </c>
    </row>
    <row r="7630" spans="1:4">
      <c r="A7630" t="str">
        <f>"80300-BC60A"</f>
        <v>80300-BC60A</v>
      </c>
      <c r="B7630" t="str">
        <f>"Стекло передней прав"</f>
        <v>Стекло передней прав</v>
      </c>
      <c r="C7630">
        <v>1</v>
      </c>
      <c r="D7630">
        <v>3062.0399999999995</v>
      </c>
    </row>
    <row r="7631" spans="1:4">
      <c r="A7631" t="str">
        <f>"80300-CA00B"</f>
        <v>80300-CA00B</v>
      </c>
      <c r="B7631" t="str">
        <f>"Стекло передней прав"</f>
        <v>Стекло передней прав</v>
      </c>
      <c r="C7631">
        <v>0</v>
      </c>
      <c r="D7631">
        <v>13341.6</v>
      </c>
    </row>
    <row r="7632" spans="1:4">
      <c r="A7632" t="str">
        <f>"80300-CG000"</f>
        <v>80300-CG000</v>
      </c>
      <c r="B7632" t="str">
        <f>"GLASS ASSY-DOOR"</f>
        <v>GLASS ASSY-DOOR</v>
      </c>
      <c r="C7632">
        <v>8</v>
      </c>
      <c r="D7632">
        <v>13430.544</v>
      </c>
    </row>
    <row r="7633" spans="1:4">
      <c r="A7633" t="str">
        <f>"80300-EB310"</f>
        <v>80300-EB310</v>
      </c>
      <c r="B7633" t="str">
        <f>"GLASS ASSY-DOOR"</f>
        <v>GLASS ASSY-DOOR</v>
      </c>
      <c r="C7633">
        <v>2</v>
      </c>
      <c r="D7633">
        <v>3949.0320000000002</v>
      </c>
    </row>
    <row r="7634" spans="1:4">
      <c r="A7634" t="str">
        <f>"80300-EL000"</f>
        <v>80300-EL000</v>
      </c>
      <c r="B7634" t="str">
        <f t="shared" ref="B7634:B7639" si="140">"Стекло передней прав"</f>
        <v>Стекло передней прав</v>
      </c>
      <c r="C7634">
        <v>3</v>
      </c>
      <c r="D7634">
        <v>7458.6479999999992</v>
      </c>
    </row>
    <row r="7635" spans="1:4">
      <c r="A7635" t="str">
        <f>"80300-JD000"</f>
        <v>80300-JD000</v>
      </c>
      <c r="B7635" t="str">
        <f t="shared" si="140"/>
        <v>Стекло передней прав</v>
      </c>
      <c r="C7635">
        <v>0</v>
      </c>
      <c r="D7635">
        <v>3269.712</v>
      </c>
    </row>
    <row r="7636" spans="1:4">
      <c r="A7636" t="str">
        <f>"80300-JG00E"</f>
        <v>80300-JG00E</v>
      </c>
      <c r="B7636" t="str">
        <f t="shared" si="140"/>
        <v>Стекло передней прав</v>
      </c>
      <c r="C7636">
        <v>3</v>
      </c>
      <c r="D7636">
        <v>10582.704</v>
      </c>
    </row>
    <row r="7637" spans="1:4">
      <c r="A7637" t="str">
        <f>"80300-JN90A"</f>
        <v>80300-JN90A</v>
      </c>
      <c r="B7637" t="str">
        <f t="shared" si="140"/>
        <v>Стекло передней прав</v>
      </c>
      <c r="C7637">
        <v>0</v>
      </c>
      <c r="D7637">
        <v>13178.807999999999</v>
      </c>
    </row>
    <row r="7638" spans="1:4">
      <c r="A7638" t="str">
        <f>"80300-JU40A"</f>
        <v>80300-JU40A</v>
      </c>
      <c r="B7638" t="str">
        <f t="shared" si="140"/>
        <v>Стекло передней прав</v>
      </c>
      <c r="C7638">
        <v>2</v>
      </c>
      <c r="D7638">
        <v>13334.663999999999</v>
      </c>
    </row>
    <row r="7639" spans="1:4">
      <c r="A7639" t="str">
        <f>"80300-VB00A"</f>
        <v>80300-VB00A</v>
      </c>
      <c r="B7639" t="str">
        <f t="shared" si="140"/>
        <v>Стекло передней прав</v>
      </c>
      <c r="C7639">
        <v>1</v>
      </c>
      <c r="D7639">
        <v>7563.5039999999999</v>
      </c>
    </row>
    <row r="7640" spans="1:4">
      <c r="A7640" t="str">
        <f>"80301-1AA0A"</f>
        <v>80301-1AA0A</v>
      </c>
      <c r="B7640" t="str">
        <f>"Стекло передней лево"</f>
        <v>Стекло передней лево</v>
      </c>
      <c r="C7640">
        <v>2</v>
      </c>
      <c r="D7640">
        <v>13366.895999999999</v>
      </c>
    </row>
    <row r="7641" spans="1:4">
      <c r="A7641" t="str">
        <f>"80301-1AA1A"</f>
        <v>80301-1AA1A</v>
      </c>
      <c r="B7641" t="str">
        <f>"GLASS ASSY-DOOR"</f>
        <v>GLASS ASSY-DOOR</v>
      </c>
      <c r="C7641">
        <v>0</v>
      </c>
      <c r="D7641">
        <v>13366.895999999999</v>
      </c>
    </row>
    <row r="7642" spans="1:4">
      <c r="A7642" t="str">
        <f>"80301-1CA0A"</f>
        <v>80301-1CA0A</v>
      </c>
      <c r="B7642" t="str">
        <f>"Стекло передней лево"</f>
        <v>Стекло передней лево</v>
      </c>
      <c r="C7642">
        <v>3</v>
      </c>
      <c r="D7642">
        <v>10673.279999999999</v>
      </c>
    </row>
    <row r="7643" spans="1:4">
      <c r="A7643" t="str">
        <f>"80301-8H30A"</f>
        <v>80301-8H30A</v>
      </c>
      <c r="B7643" t="str">
        <f>"Стекло передней лево"</f>
        <v>Стекло передней лево</v>
      </c>
      <c r="C7643">
        <v>1</v>
      </c>
      <c r="D7643">
        <v>10687.56</v>
      </c>
    </row>
    <row r="7644" spans="1:4">
      <c r="A7644" t="str">
        <f>"80301-95F0A"</f>
        <v>80301-95F0A</v>
      </c>
      <c r="B7644" t="str">
        <f>"Стекло передней лево"</f>
        <v>Стекло передней лево</v>
      </c>
      <c r="C7644">
        <v>2</v>
      </c>
      <c r="D7644">
        <v>9244.4639999999999</v>
      </c>
    </row>
    <row r="7645" spans="1:4">
      <c r="A7645" t="str">
        <f>"80301-9U000"</f>
        <v>80301-9U000</v>
      </c>
      <c r="B7645" t="str">
        <f>"Стекло передней лево"</f>
        <v>Стекло передней лево</v>
      </c>
      <c r="C7645">
        <v>3</v>
      </c>
      <c r="D7645">
        <v>4353.768</v>
      </c>
    </row>
    <row r="7646" spans="1:4">
      <c r="A7646" t="str">
        <f>"80301-9W50A"</f>
        <v>80301-9W50A</v>
      </c>
      <c r="B7646" t="str">
        <f>"Стекло передней лево"</f>
        <v>Стекло передней лево</v>
      </c>
      <c r="C7646">
        <v>1</v>
      </c>
      <c r="D7646">
        <v>11203.679999999998</v>
      </c>
    </row>
    <row r="7647" spans="1:4">
      <c r="A7647" t="str">
        <f>"80301-AV600"</f>
        <v>80301-AV600</v>
      </c>
      <c r="B7647" t="str">
        <f>"GLASS ASSY-DOOR"</f>
        <v>GLASS ASSY-DOOR</v>
      </c>
      <c r="C7647">
        <v>2</v>
      </c>
      <c r="D7647">
        <v>3269.712</v>
      </c>
    </row>
    <row r="7648" spans="1:4">
      <c r="A7648" t="str">
        <f>"80301-BM701"</f>
        <v>80301-BM701</v>
      </c>
      <c r="B7648" t="str">
        <f>"GLASS ASSY-DOOR"</f>
        <v>GLASS ASSY-DOOR</v>
      </c>
      <c r="C7648">
        <v>2</v>
      </c>
      <c r="D7648">
        <v>4353.768</v>
      </c>
    </row>
    <row r="7649" spans="1:4">
      <c r="A7649" t="str">
        <f>"80301-EB310"</f>
        <v>80301-EB310</v>
      </c>
      <c r="B7649" t="str">
        <f>"GLASS ASSY-DOOR"</f>
        <v>GLASS ASSY-DOOR</v>
      </c>
      <c r="C7649">
        <v>3</v>
      </c>
      <c r="D7649">
        <v>3938.8319999999999</v>
      </c>
    </row>
    <row r="7650" spans="1:4">
      <c r="A7650" t="str">
        <f>"80301-EL000"</f>
        <v>80301-EL000</v>
      </c>
      <c r="B7650" t="str">
        <f t="shared" ref="B7650:B7655" si="141">"Стекло передней лево"</f>
        <v>Стекло передней лево</v>
      </c>
      <c r="C7650">
        <v>4</v>
      </c>
      <c r="D7650">
        <v>5801.3519999999999</v>
      </c>
    </row>
    <row r="7651" spans="1:4">
      <c r="A7651" t="str">
        <f>"80301-JD000"</f>
        <v>80301-JD000</v>
      </c>
      <c r="B7651" t="str">
        <f t="shared" si="141"/>
        <v>Стекло передней лево</v>
      </c>
      <c r="C7651">
        <v>2</v>
      </c>
      <c r="D7651">
        <v>3269.712</v>
      </c>
    </row>
    <row r="7652" spans="1:4">
      <c r="A7652" t="str">
        <f>"80301-JG00E"</f>
        <v>80301-JG00E</v>
      </c>
      <c r="B7652" t="str">
        <f t="shared" si="141"/>
        <v>Стекло передней лево</v>
      </c>
      <c r="C7652">
        <v>4</v>
      </c>
      <c r="D7652">
        <v>11308.128000000001</v>
      </c>
    </row>
    <row r="7653" spans="1:4">
      <c r="A7653" t="str">
        <f>"80301-JK000"</f>
        <v>80301-JK000</v>
      </c>
      <c r="B7653" t="str">
        <f t="shared" si="141"/>
        <v>Стекло передней лево</v>
      </c>
      <c r="C7653">
        <v>2</v>
      </c>
      <c r="D7653">
        <v>13258.776</v>
      </c>
    </row>
    <row r="7654" spans="1:4">
      <c r="A7654" t="str">
        <f>"80301-JN90A"</f>
        <v>80301-JN90A</v>
      </c>
      <c r="B7654" t="str">
        <f t="shared" si="141"/>
        <v>Стекло передней лево</v>
      </c>
      <c r="C7654">
        <v>2</v>
      </c>
      <c r="D7654">
        <v>13217.567999999999</v>
      </c>
    </row>
    <row r="7655" spans="1:4">
      <c r="A7655" t="str">
        <f>"80301-VB00A"</f>
        <v>80301-VB00A</v>
      </c>
      <c r="B7655" t="str">
        <f t="shared" si="141"/>
        <v>Стекло передней лево</v>
      </c>
      <c r="C7655">
        <v>1</v>
      </c>
      <c r="D7655">
        <v>5944.152</v>
      </c>
    </row>
    <row r="7656" spans="1:4">
      <c r="A7656" t="str">
        <f>"80320-95F0B"</f>
        <v>80320-95F0B</v>
      </c>
      <c r="B7656" t="str">
        <f>"Кронштейн бокового с"</f>
        <v>Кронштейн бокового с</v>
      </c>
      <c r="C7656">
        <v>8</v>
      </c>
      <c r="D7656">
        <v>434.928</v>
      </c>
    </row>
    <row r="7657" spans="1:4">
      <c r="A7657" t="str">
        <f>"80330-JG000"</f>
        <v>80330-JG000</v>
      </c>
      <c r="B7657" t="str">
        <f>"Уплотнитель бокового"</f>
        <v>Уплотнитель бокового</v>
      </c>
      <c r="C7657">
        <v>1</v>
      </c>
      <c r="D7657">
        <v>2733.1919999999996</v>
      </c>
    </row>
    <row r="7658" spans="1:4">
      <c r="A7658" t="str">
        <f>"80400-1M20A"</f>
        <v>80400-1M20A</v>
      </c>
      <c r="B7658" t="str">
        <f>"Петля двери"</f>
        <v>Петля двери</v>
      </c>
      <c r="C7658">
        <v>9</v>
      </c>
      <c r="D7658">
        <v>1266.0239999999999</v>
      </c>
    </row>
    <row r="7659" spans="1:4">
      <c r="A7659" t="str">
        <f>"80400-2F030"</f>
        <v>80400-2F030</v>
      </c>
      <c r="B7659" t="str">
        <f>"HINGE ASSY-DOOR"</f>
        <v>HINGE ASSY-DOOR</v>
      </c>
      <c r="C7659">
        <v>9</v>
      </c>
      <c r="D7659">
        <v>1328.04</v>
      </c>
    </row>
    <row r="7660" spans="1:4">
      <c r="A7660" t="str">
        <f>"80400-2J000"</f>
        <v>80400-2J000</v>
      </c>
      <c r="B7660" t="str">
        <f>"HINGE ASSY"</f>
        <v>HINGE ASSY</v>
      </c>
      <c r="C7660">
        <v>8</v>
      </c>
      <c r="D7660">
        <v>1251.7439999999999</v>
      </c>
    </row>
    <row r="7661" spans="1:4">
      <c r="A7661" t="str">
        <f>"80400-3J600"</f>
        <v>80400-3J600</v>
      </c>
      <c r="B7661" t="str">
        <f>"Петля двери"</f>
        <v>Петля двери</v>
      </c>
      <c r="C7661">
        <v>2</v>
      </c>
      <c r="D7661">
        <v>829.87199999999996</v>
      </c>
    </row>
    <row r="7662" spans="1:4">
      <c r="A7662" t="str">
        <f>"80400-40U00"</f>
        <v>80400-40U00</v>
      </c>
      <c r="B7662" t="str">
        <f>"HINGE ASSY"</f>
        <v>HINGE ASSY</v>
      </c>
      <c r="C7662">
        <v>0</v>
      </c>
      <c r="D7662">
        <v>1145.2559999999999</v>
      </c>
    </row>
    <row r="7663" spans="1:4">
      <c r="A7663" t="str">
        <f>"80400-4P00A"</f>
        <v>80400-4P00A</v>
      </c>
      <c r="B7663" t="str">
        <f>"Петля двери"</f>
        <v>Петля двери</v>
      </c>
      <c r="C7663">
        <v>2</v>
      </c>
      <c r="D7663">
        <v>1118.7359999999999</v>
      </c>
    </row>
    <row r="7664" spans="1:4">
      <c r="A7664" t="str">
        <f>"80400-8H70A"</f>
        <v>80400-8H70A</v>
      </c>
      <c r="B7664" t="str">
        <f>"Петля двери"</f>
        <v>Петля двери</v>
      </c>
      <c r="C7664">
        <v>7</v>
      </c>
      <c r="D7664">
        <v>882.096</v>
      </c>
    </row>
    <row r="7665" spans="1:4">
      <c r="A7665" t="str">
        <f>"80400-AG00A"</f>
        <v>80400-AG00A</v>
      </c>
      <c r="B7665" t="str">
        <f>"Петля двери"</f>
        <v>Петля двери</v>
      </c>
      <c r="C7665">
        <v>2</v>
      </c>
      <c r="D7665">
        <v>1121.184</v>
      </c>
    </row>
    <row r="7666" spans="1:4">
      <c r="A7666" t="str">
        <f>"80400-EG000"</f>
        <v>80400-EG000</v>
      </c>
      <c r="B7666" t="str">
        <f>"Петля двери"</f>
        <v>Петля двери</v>
      </c>
      <c r="C7666">
        <v>6</v>
      </c>
      <c r="D7666">
        <v>1180.3440000000001</v>
      </c>
    </row>
    <row r="7667" spans="1:4">
      <c r="A7667" t="str">
        <f>"80400-H8500"</f>
        <v>80400-H8500</v>
      </c>
      <c r="B7667" t="str">
        <f>"HINGE ASSY-FRON"</f>
        <v>HINGE ASSY-FRON</v>
      </c>
      <c r="C7667">
        <v>4</v>
      </c>
      <c r="D7667">
        <v>755.61599999999987</v>
      </c>
    </row>
    <row r="7668" spans="1:4">
      <c r="A7668" t="str">
        <f>"80400-JN00A"</f>
        <v>80400-JN00A</v>
      </c>
      <c r="B7668" t="str">
        <f>"Петля двери"</f>
        <v>Петля двери</v>
      </c>
      <c r="C7668">
        <v>1</v>
      </c>
      <c r="D7668">
        <v>1044.0719999999999</v>
      </c>
    </row>
    <row r="7669" spans="1:4">
      <c r="A7669" t="str">
        <f>"80400-ZJ00A"</f>
        <v>80400-ZJ00A</v>
      </c>
      <c r="B7669" t="str">
        <f>"Петля двери"</f>
        <v>Петля двери</v>
      </c>
      <c r="C7669">
        <v>0</v>
      </c>
      <c r="D7669">
        <v>692.37599999999998</v>
      </c>
    </row>
    <row r="7670" spans="1:4">
      <c r="A7670" t="str">
        <f>"80400-ZP80A"</f>
        <v>80400-ZP80A</v>
      </c>
      <c r="B7670" t="str">
        <f>"Петля двери"</f>
        <v>Петля двери</v>
      </c>
      <c r="C7670">
        <v>2</v>
      </c>
      <c r="D7670">
        <v>890.66399999999999</v>
      </c>
    </row>
    <row r="7671" spans="1:4">
      <c r="A7671" t="str">
        <f>"80401-1M20A"</f>
        <v>80401-1M20A</v>
      </c>
      <c r="B7671" t="str">
        <f>"Петля двери"</f>
        <v>Петля двери</v>
      </c>
      <c r="C7671">
        <v>9</v>
      </c>
      <c r="D7671">
        <v>1223.184</v>
      </c>
    </row>
    <row r="7672" spans="1:4">
      <c r="A7672" t="str">
        <f>"80401-2F030"</f>
        <v>80401-2F030</v>
      </c>
      <c r="B7672" t="str">
        <f>"HINGE ASSY-DOOR"</f>
        <v>HINGE ASSY-DOOR</v>
      </c>
      <c r="C7672">
        <v>10</v>
      </c>
      <c r="D7672">
        <v>1281.9359999999999</v>
      </c>
    </row>
    <row r="7673" spans="1:4">
      <c r="A7673" t="str">
        <f>"80401-3J600"</f>
        <v>80401-3J600</v>
      </c>
      <c r="B7673" t="str">
        <f>"Петля двери"</f>
        <v>Петля двери</v>
      </c>
      <c r="C7673">
        <v>4</v>
      </c>
      <c r="D7673">
        <v>829.87199999999996</v>
      </c>
    </row>
    <row r="7674" spans="1:4">
      <c r="A7674" t="str">
        <f>"80401-40U00"</f>
        <v>80401-40U00</v>
      </c>
      <c r="B7674" t="str">
        <f>"HINGE ASSY"</f>
        <v>HINGE ASSY</v>
      </c>
      <c r="C7674">
        <v>9</v>
      </c>
      <c r="D7674">
        <v>1205.232</v>
      </c>
    </row>
    <row r="7675" spans="1:4">
      <c r="A7675" t="str">
        <f>"80401-4P00A"</f>
        <v>80401-4P00A</v>
      </c>
      <c r="B7675" t="str">
        <f>"Петля двери"</f>
        <v>Петля двери</v>
      </c>
      <c r="C7675">
        <v>15</v>
      </c>
      <c r="D7675">
        <v>1126.896</v>
      </c>
    </row>
    <row r="7676" spans="1:4">
      <c r="A7676" t="str">
        <f>"80401-8H70A"</f>
        <v>80401-8H70A</v>
      </c>
      <c r="B7676" t="str">
        <f>"Петля двери"</f>
        <v>Петля двери</v>
      </c>
      <c r="C7676">
        <v>0</v>
      </c>
      <c r="D7676">
        <v>1115.0640000000001</v>
      </c>
    </row>
    <row r="7677" spans="1:4">
      <c r="A7677" t="str">
        <f>"80401-90J35"</f>
        <v>80401-90J35</v>
      </c>
      <c r="B7677" t="str">
        <f>"HINGE ASSY-FRON"</f>
        <v>HINGE ASSY-FRON</v>
      </c>
      <c r="C7677">
        <v>0</v>
      </c>
      <c r="D7677">
        <v>1361.4959999999999</v>
      </c>
    </row>
    <row r="7678" spans="1:4">
      <c r="A7678" t="str">
        <f>"80401-95F0D"</f>
        <v>80401-95F0D</v>
      </c>
      <c r="B7678" t="str">
        <f t="shared" ref="B7678:B7684" si="142">"Петля двери"</f>
        <v>Петля двери</v>
      </c>
      <c r="C7678">
        <v>6</v>
      </c>
      <c r="D7678">
        <v>979.19999999999993</v>
      </c>
    </row>
    <row r="7679" spans="1:4">
      <c r="A7679" t="str">
        <f>"80401-95F0G"</f>
        <v>80401-95F0G</v>
      </c>
      <c r="B7679" t="str">
        <f t="shared" si="142"/>
        <v>Петля двери</v>
      </c>
      <c r="C7679">
        <v>1</v>
      </c>
      <c r="D7679">
        <v>1191.768</v>
      </c>
    </row>
    <row r="7680" spans="1:4">
      <c r="A7680" t="str">
        <f>"80401-AG00A"</f>
        <v>80401-AG00A</v>
      </c>
      <c r="B7680" t="str">
        <f t="shared" si="142"/>
        <v>Петля двери</v>
      </c>
      <c r="C7680">
        <v>4</v>
      </c>
      <c r="D7680">
        <v>1059.1679999999999</v>
      </c>
    </row>
    <row r="7681" spans="1:4">
      <c r="A7681" t="str">
        <f>"80401-EG000"</f>
        <v>80401-EG000</v>
      </c>
      <c r="B7681" t="str">
        <f t="shared" si="142"/>
        <v>Петля двери</v>
      </c>
      <c r="C7681">
        <v>1</v>
      </c>
      <c r="D7681">
        <v>1164.432</v>
      </c>
    </row>
    <row r="7682" spans="1:4">
      <c r="A7682" t="str">
        <f>"80401-JN00A"</f>
        <v>80401-JN00A</v>
      </c>
      <c r="B7682" t="str">
        <f t="shared" si="142"/>
        <v>Петля двери</v>
      </c>
      <c r="C7682">
        <v>4</v>
      </c>
      <c r="D7682">
        <v>1045.296</v>
      </c>
    </row>
    <row r="7683" spans="1:4">
      <c r="A7683" t="str">
        <f>"80401-ZJ00A"</f>
        <v>80401-ZJ00A</v>
      </c>
      <c r="B7683" t="str">
        <f t="shared" si="142"/>
        <v>Петля двери</v>
      </c>
      <c r="C7683">
        <v>1</v>
      </c>
      <c r="D7683">
        <v>560.18399999999997</v>
      </c>
    </row>
    <row r="7684" spans="1:4">
      <c r="A7684" t="str">
        <f>"80401-ZP80A"</f>
        <v>80401-ZP80A</v>
      </c>
      <c r="B7684" t="str">
        <f t="shared" si="142"/>
        <v>Петля двери</v>
      </c>
      <c r="C7684">
        <v>0</v>
      </c>
      <c r="D7684">
        <v>826.19999999999993</v>
      </c>
    </row>
    <row r="7685" spans="1:4">
      <c r="A7685" t="str">
        <f>"80402-01G00"</f>
        <v>80402-01G00</v>
      </c>
      <c r="B7685" t="str">
        <f>"HINGE ASSY-FRON"</f>
        <v>HINGE ASSY-FRON</v>
      </c>
      <c r="C7685">
        <v>2</v>
      </c>
      <c r="D7685">
        <v>476.54399999999998</v>
      </c>
    </row>
    <row r="7686" spans="1:4">
      <c r="A7686" t="str">
        <f>"80406-V5002"</f>
        <v>80406-V5002</v>
      </c>
      <c r="B7686" t="str">
        <f>"PIN-HINGE"</f>
        <v>PIN-HINGE</v>
      </c>
      <c r="C7686">
        <v>41</v>
      </c>
      <c r="D7686">
        <v>144.84</v>
      </c>
    </row>
    <row r="7687" spans="1:4">
      <c r="A7687" t="str">
        <f>"80410-01G00"</f>
        <v>80410-01G00</v>
      </c>
      <c r="B7687" t="str">
        <f>"CAP-HINGE ROLLE"</f>
        <v>CAP-HINGE ROLLE</v>
      </c>
      <c r="C7687">
        <v>38</v>
      </c>
      <c r="D7687">
        <v>53.04</v>
      </c>
    </row>
    <row r="7688" spans="1:4">
      <c r="A7688" t="str">
        <f>"80420-BU030"</f>
        <v>80420-BU030</v>
      </c>
      <c r="B7688" t="str">
        <f>"HINGE ASSY-FRON"</f>
        <v>HINGE ASSY-FRON</v>
      </c>
      <c r="C7688">
        <v>7</v>
      </c>
      <c r="D7688">
        <v>1104.048</v>
      </c>
    </row>
    <row r="7689" spans="1:4">
      <c r="A7689" t="str">
        <f>"80420-C6000"</f>
        <v>80420-C6000</v>
      </c>
      <c r="B7689" t="str">
        <f>"A HINGE RR LWR"</f>
        <v>A HINGE RR LWR</v>
      </c>
      <c r="C7689">
        <v>8</v>
      </c>
      <c r="D7689">
        <v>1613.64</v>
      </c>
    </row>
    <row r="7690" spans="1:4">
      <c r="A7690" t="str">
        <f>"80421-BU030"</f>
        <v>80421-BU030</v>
      </c>
      <c r="B7690" t="str">
        <f>"HINGE ASSY-FRON"</f>
        <v>HINGE ASSY-FRON</v>
      </c>
      <c r="C7690">
        <v>13</v>
      </c>
      <c r="D7690">
        <v>1117.1039999999998</v>
      </c>
    </row>
    <row r="7691" spans="1:4">
      <c r="A7691" t="str">
        <f>"80421-C6000"</f>
        <v>80421-C6000</v>
      </c>
      <c r="B7691" t="str">
        <f>"A HINGE RR LWR"</f>
        <v>A HINGE RR LWR</v>
      </c>
      <c r="C7691">
        <v>0</v>
      </c>
      <c r="D7691">
        <v>1576.9199999999998</v>
      </c>
    </row>
    <row r="7692" spans="1:4">
      <c r="A7692" t="str">
        <f>"80422-01G00"</f>
        <v>80422-01G00</v>
      </c>
      <c r="B7692" t="str">
        <f>"HINGE ASSY-FRON"</f>
        <v>HINGE ASSY-FRON</v>
      </c>
      <c r="C7692">
        <v>4</v>
      </c>
      <c r="D7692">
        <v>490.00799999999992</v>
      </c>
    </row>
    <row r="7693" spans="1:4">
      <c r="A7693" t="str">
        <f>"80430-2F000"</f>
        <v>80430-2F000</v>
      </c>
      <c r="B7693" t="str">
        <f>"LINK-DOOR STOP"</f>
        <v>LINK-DOOR STOP</v>
      </c>
      <c r="C7693">
        <v>7</v>
      </c>
      <c r="D7693">
        <v>1010.208</v>
      </c>
    </row>
    <row r="7694" spans="1:4">
      <c r="A7694" t="str">
        <f>"80430-8H30A"</f>
        <v>80430-8H30A</v>
      </c>
      <c r="B7694" t="str">
        <f>"Тяга ограничитель хо"</f>
        <v>Тяга ограничитель хо</v>
      </c>
      <c r="C7694">
        <v>10</v>
      </c>
      <c r="D7694">
        <v>740.11199999999997</v>
      </c>
    </row>
    <row r="7695" spans="1:4">
      <c r="A7695" t="str">
        <f>"80430-JD000"</f>
        <v>80430-JD000</v>
      </c>
      <c r="B7695" t="str">
        <f>"Тяга ограничитель хо"</f>
        <v>Тяга ограничитель хо</v>
      </c>
      <c r="C7695">
        <v>7</v>
      </c>
      <c r="D7695">
        <v>774.38400000000001</v>
      </c>
    </row>
    <row r="7696" spans="1:4">
      <c r="A7696" t="str">
        <f>"80430-JG000"</f>
        <v>80430-JG000</v>
      </c>
      <c r="B7696" t="str">
        <f>"Тяга ограничитель хо"</f>
        <v>Тяга ограничитель хо</v>
      </c>
      <c r="C7696">
        <v>0</v>
      </c>
      <c r="D7696">
        <v>788.66399999999999</v>
      </c>
    </row>
    <row r="7697" spans="1:4">
      <c r="A7697" t="str">
        <f>"80430-JN00A"</f>
        <v>80430-JN00A</v>
      </c>
      <c r="B7697" t="str">
        <f>"ТЯГА ДВЕРИ"</f>
        <v>ТЯГА ДВЕРИ</v>
      </c>
      <c r="C7697">
        <v>0</v>
      </c>
      <c r="D7697">
        <v>947.78399999999999</v>
      </c>
    </row>
    <row r="7698" spans="1:4">
      <c r="A7698" t="str">
        <f>"80500-AV60B"</f>
        <v>80500-AV60B</v>
      </c>
      <c r="B7698" t="str">
        <f>"Замок двери электром"</f>
        <v>Замок двери электром</v>
      </c>
      <c r="C7698">
        <v>2</v>
      </c>
      <c r="D7698">
        <v>4301.5439999999999</v>
      </c>
    </row>
    <row r="7699" spans="1:4">
      <c r="A7699" t="str">
        <f>"80500-CG00A"</f>
        <v>80500-CG00A</v>
      </c>
      <c r="B7699" t="str">
        <f>"Замок двери электром"</f>
        <v>Замок двери электром</v>
      </c>
      <c r="C7699">
        <v>18</v>
      </c>
      <c r="D7699">
        <v>5119.1759999999995</v>
      </c>
    </row>
    <row r="7700" spans="1:4">
      <c r="A7700" t="str">
        <f>"80500-CZ70A"</f>
        <v>80500-CZ70A</v>
      </c>
      <c r="B7700" t="str">
        <f>"Замок двери электром"</f>
        <v>Замок двери электром</v>
      </c>
      <c r="C7700">
        <v>6</v>
      </c>
      <c r="D7700">
        <v>5068.5839999999998</v>
      </c>
    </row>
    <row r="7701" spans="1:4">
      <c r="A7701" t="str">
        <f>"80500-EH100"</f>
        <v>80500-EH100</v>
      </c>
      <c r="B7701" t="str">
        <f>"Замок электромеханич"</f>
        <v>Замок электромеханич</v>
      </c>
      <c r="C7701">
        <v>1</v>
      </c>
      <c r="D7701">
        <v>6326.4479999999994</v>
      </c>
    </row>
    <row r="7702" spans="1:4">
      <c r="A7702" t="str">
        <f>"80500-JD900"</f>
        <v>80500-JD900</v>
      </c>
      <c r="B7702" t="str">
        <f t="shared" ref="B7702:B7713" si="143">"Замок двери электром"</f>
        <v>Замок двери электром</v>
      </c>
      <c r="C7702">
        <v>7</v>
      </c>
      <c r="D7702">
        <v>4266.4560000000001</v>
      </c>
    </row>
    <row r="7703" spans="1:4">
      <c r="A7703" t="str">
        <f>"80500-JG400"</f>
        <v>80500-JG400</v>
      </c>
      <c r="B7703" t="str">
        <f t="shared" si="143"/>
        <v>Замок двери электром</v>
      </c>
      <c r="C7703">
        <v>4</v>
      </c>
      <c r="D7703">
        <v>2913.5279999999998</v>
      </c>
    </row>
    <row r="7704" spans="1:4">
      <c r="A7704" t="str">
        <f>"80501-9U10B"</f>
        <v>80501-9U10B</v>
      </c>
      <c r="B7704" t="str">
        <f t="shared" si="143"/>
        <v>Замок двери электром</v>
      </c>
      <c r="C7704">
        <v>2</v>
      </c>
      <c r="D7704">
        <v>4464.7439999999997</v>
      </c>
    </row>
    <row r="7705" spans="1:4">
      <c r="A7705" t="str">
        <f>"80501-9W10A"</f>
        <v>80501-9W10A</v>
      </c>
      <c r="B7705" t="str">
        <f t="shared" si="143"/>
        <v>Замок двери электром</v>
      </c>
      <c r="C7705">
        <v>7</v>
      </c>
      <c r="D7705">
        <v>4891.1040000000003</v>
      </c>
    </row>
    <row r="7706" spans="1:4">
      <c r="A7706" t="str">
        <f>"80501-AV60B"</f>
        <v>80501-AV60B</v>
      </c>
      <c r="B7706" t="str">
        <f t="shared" si="143"/>
        <v>Замок двери электром</v>
      </c>
      <c r="C7706">
        <v>13</v>
      </c>
      <c r="D7706">
        <v>4669.5600000000004</v>
      </c>
    </row>
    <row r="7707" spans="1:4">
      <c r="A7707" t="str">
        <f>"80501-BA20B"</f>
        <v>80501-BA20B</v>
      </c>
      <c r="B7707" t="str">
        <f t="shared" si="143"/>
        <v>Замок двери электром</v>
      </c>
      <c r="C7707">
        <v>4</v>
      </c>
      <c r="D7707">
        <v>4328.4719999999998</v>
      </c>
    </row>
    <row r="7708" spans="1:4">
      <c r="A7708" t="str">
        <f>"80501-CA01A"</f>
        <v>80501-CA01A</v>
      </c>
      <c r="B7708" t="str">
        <f t="shared" si="143"/>
        <v>Замок двери электром</v>
      </c>
      <c r="C7708">
        <v>2</v>
      </c>
      <c r="D7708">
        <v>4378.6559999999999</v>
      </c>
    </row>
    <row r="7709" spans="1:4">
      <c r="A7709" t="str">
        <f>"80501-CG00A"</f>
        <v>80501-CG00A</v>
      </c>
      <c r="B7709" t="str">
        <f t="shared" si="143"/>
        <v>Замок двери электром</v>
      </c>
      <c r="C7709">
        <v>8</v>
      </c>
      <c r="D7709">
        <v>4543.4879999999994</v>
      </c>
    </row>
    <row r="7710" spans="1:4">
      <c r="A7710" t="str">
        <f>"80501-CG05A"</f>
        <v>80501-CG05A</v>
      </c>
      <c r="B7710" t="str">
        <f t="shared" si="143"/>
        <v>Замок двери электром</v>
      </c>
      <c r="C7710">
        <v>6</v>
      </c>
      <c r="D7710">
        <v>5171.808</v>
      </c>
    </row>
    <row r="7711" spans="1:4">
      <c r="A7711" t="str">
        <f>"80501-CZ75A"</f>
        <v>80501-CZ75A</v>
      </c>
      <c r="B7711" t="str">
        <f t="shared" si="143"/>
        <v>Замок двери электром</v>
      </c>
      <c r="C7711">
        <v>5</v>
      </c>
      <c r="D7711">
        <v>5146.92</v>
      </c>
    </row>
    <row r="7712" spans="1:4">
      <c r="A7712" t="str">
        <f>"80501-JD900"</f>
        <v>80501-JD900</v>
      </c>
      <c r="B7712" t="str">
        <f t="shared" si="143"/>
        <v>Замок двери электром</v>
      </c>
      <c r="C7712">
        <v>8</v>
      </c>
      <c r="D7712">
        <v>4255.4399999999996</v>
      </c>
    </row>
    <row r="7713" spans="1:4">
      <c r="A7713" t="str">
        <f>"80501-JG400"</f>
        <v>80501-JG400</v>
      </c>
      <c r="B7713" t="str">
        <f t="shared" si="143"/>
        <v>Замок двери электром</v>
      </c>
      <c r="C7713">
        <v>13</v>
      </c>
      <c r="D7713">
        <v>3087.7439999999997</v>
      </c>
    </row>
    <row r="7714" spans="1:4">
      <c r="A7714" t="str">
        <f>"80501-ZT01A"</f>
        <v>80501-ZT01A</v>
      </c>
      <c r="B7714" t="str">
        <f>"Замок электромеханич"</f>
        <v>Замок электромеханич</v>
      </c>
      <c r="C7714">
        <v>9</v>
      </c>
      <c r="D7714">
        <v>4059.1919999999996</v>
      </c>
    </row>
    <row r="7715" spans="1:4">
      <c r="A7715" t="str">
        <f>"80502-95F0B"</f>
        <v>80502-95F0B</v>
      </c>
      <c r="B7715" t="str">
        <f>"Замок двери электром"</f>
        <v>Замок двери электром</v>
      </c>
      <c r="C7715">
        <v>2</v>
      </c>
      <c r="D7715">
        <v>2880.8879999999995</v>
      </c>
    </row>
    <row r="7716" spans="1:4">
      <c r="A7716" t="str">
        <f>"80503-3Y50E"</f>
        <v>80503-3Y50E</v>
      </c>
      <c r="B7716" t="str">
        <f>"Замок двери электром"</f>
        <v>Замок двери электром</v>
      </c>
      <c r="C7716">
        <v>3</v>
      </c>
      <c r="D7716">
        <v>3173.424</v>
      </c>
    </row>
    <row r="7717" spans="1:4">
      <c r="A7717" t="str">
        <f>"80552-BM705"</f>
        <v>80552-BM705</v>
      </c>
      <c r="B7717" t="str">
        <f>"ACTUATOR-AUTO D"</f>
        <v>ACTUATOR-AUTO D</v>
      </c>
      <c r="C7717">
        <v>1</v>
      </c>
      <c r="D7717">
        <v>3264</v>
      </c>
    </row>
    <row r="7718" spans="1:4">
      <c r="A7718" t="str">
        <f>"80564-95F0A"</f>
        <v>80564-95F0A</v>
      </c>
      <c r="B7718" t="str">
        <f>"Заготовка ключа"</f>
        <v>Заготовка ключа</v>
      </c>
      <c r="C7718">
        <v>10</v>
      </c>
      <c r="D7718">
        <v>2038.3679999999999</v>
      </c>
    </row>
    <row r="7719" spans="1:4">
      <c r="A7719" t="str">
        <f>"80564-95F0C"</f>
        <v>80564-95F0C</v>
      </c>
      <c r="B7719" t="str">
        <f>"Заготовка ключа"</f>
        <v>Заготовка ключа</v>
      </c>
      <c r="C7719">
        <v>20</v>
      </c>
      <c r="D7719">
        <v>4949.04</v>
      </c>
    </row>
    <row r="7720" spans="1:4">
      <c r="A7720" t="str">
        <f>"80564-95F0D"</f>
        <v>80564-95F0D</v>
      </c>
      <c r="B7720" t="str">
        <f>"Заготовка ключа"</f>
        <v>Заготовка ключа</v>
      </c>
      <c r="C7720">
        <v>1</v>
      </c>
      <c r="D7720">
        <v>3587.5439999999999</v>
      </c>
    </row>
    <row r="7721" spans="1:4">
      <c r="A7721" t="str">
        <f>"80564-95F0F"</f>
        <v>80564-95F0F</v>
      </c>
      <c r="B7721" t="str">
        <f>"Заготовка ключа"</f>
        <v>Заготовка ключа</v>
      </c>
      <c r="C7721">
        <v>2</v>
      </c>
      <c r="D7721">
        <v>4949.04</v>
      </c>
    </row>
    <row r="7722" spans="1:4">
      <c r="A7722" t="str">
        <f>"80567-EH100"</f>
        <v>80567-EH100</v>
      </c>
      <c r="B7722" t="str">
        <f>"Держатель ключа"</f>
        <v>Держатель ключа</v>
      </c>
      <c r="C7722">
        <v>1</v>
      </c>
      <c r="D7722">
        <v>524.28</v>
      </c>
    </row>
    <row r="7723" spans="1:4">
      <c r="A7723" t="str">
        <f>"80570-85E1A"</f>
        <v>80570-85E1A</v>
      </c>
      <c r="B7723" t="str">
        <f>"Кронштейн замка двер"</f>
        <v>Кронштейн замка двер</v>
      </c>
      <c r="C7723">
        <v>11</v>
      </c>
      <c r="D7723">
        <v>470.83199999999999</v>
      </c>
    </row>
    <row r="7724" spans="1:4">
      <c r="A7724" t="str">
        <f>"80601-95F0A"</f>
        <v>80601-95F0A</v>
      </c>
      <c r="B7724" t="str">
        <f>"Личинка замка дв"</f>
        <v>Личинка замка дв</v>
      </c>
      <c r="C7724">
        <v>4</v>
      </c>
      <c r="D7724">
        <v>1197.48</v>
      </c>
    </row>
    <row r="7725" spans="1:4">
      <c r="A7725" t="str">
        <f>"80606-8H30B"</f>
        <v>80606-8H30B</v>
      </c>
      <c r="B7725" t="str">
        <f>"Ручка двери"</f>
        <v>Ручка двери</v>
      </c>
      <c r="C7725">
        <v>1</v>
      </c>
      <c r="D7725">
        <v>2261.9519999999998</v>
      </c>
    </row>
    <row r="7726" spans="1:4">
      <c r="A7726" t="str">
        <f>"80607-0M000"</f>
        <v>80607-0M000</v>
      </c>
      <c r="B7726" t="str">
        <f>"HANDLE ASSY-DOO"</f>
        <v>HANDLE ASSY-DOO</v>
      </c>
      <c r="C7726">
        <v>4</v>
      </c>
      <c r="D7726">
        <v>1196.664</v>
      </c>
    </row>
    <row r="7727" spans="1:4">
      <c r="A7727" t="str">
        <f>"80607-BN860"</f>
        <v>80607-BN860</v>
      </c>
      <c r="B7727" t="str">
        <f>"HANDLE ASSY-FRO"</f>
        <v>HANDLE ASSY-FRO</v>
      </c>
      <c r="C7727">
        <v>1</v>
      </c>
      <c r="D7727">
        <v>2606.3040000000001</v>
      </c>
    </row>
    <row r="7728" spans="1:4">
      <c r="A7728" t="str">
        <f>"80607-EQ20A"</f>
        <v>80607-EQ20A</v>
      </c>
      <c r="B7728" t="str">
        <f>"Ручка двери"</f>
        <v>Ручка двери</v>
      </c>
      <c r="C7728">
        <v>8</v>
      </c>
      <c r="D7728">
        <v>2041.6319999999998</v>
      </c>
    </row>
    <row r="7729" spans="1:4">
      <c r="A7729" t="str">
        <f>"80610-AV60C"</f>
        <v>80610-AV60C</v>
      </c>
      <c r="B7729" t="str">
        <f t="shared" ref="B7729:B7734" si="144">"Кронштейн ручки двер"</f>
        <v>Кронштейн ручки двер</v>
      </c>
      <c r="C7729">
        <v>3</v>
      </c>
      <c r="D7729">
        <v>1261.1279999999999</v>
      </c>
    </row>
    <row r="7730" spans="1:4">
      <c r="A7730" t="str">
        <f>"80610-EB30B"</f>
        <v>80610-EB30B</v>
      </c>
      <c r="B7730" t="str">
        <f t="shared" si="144"/>
        <v>Кронштейн ручки двер</v>
      </c>
      <c r="C7730">
        <v>0</v>
      </c>
      <c r="D7730">
        <v>1065.6959999999999</v>
      </c>
    </row>
    <row r="7731" spans="1:4">
      <c r="A7731" t="str">
        <f>"80610-JG000"</f>
        <v>80610-JG000</v>
      </c>
      <c r="B7731" t="str">
        <f t="shared" si="144"/>
        <v>Кронштейн ручки двер</v>
      </c>
      <c r="C7731">
        <v>7</v>
      </c>
      <c r="D7731">
        <v>1095.0719999999999</v>
      </c>
    </row>
    <row r="7732" spans="1:4">
      <c r="A7732" t="str">
        <f>"80611-9Y200"</f>
        <v>80611-9Y200</v>
      </c>
      <c r="B7732" t="str">
        <f t="shared" si="144"/>
        <v>Кронштейн ручки двер</v>
      </c>
      <c r="C7732">
        <v>0</v>
      </c>
      <c r="D7732">
        <v>1253.376</v>
      </c>
    </row>
    <row r="7733" spans="1:4">
      <c r="A7733" t="str">
        <f>"80611-EB30B"</f>
        <v>80611-EB30B</v>
      </c>
      <c r="B7733" t="str">
        <f t="shared" si="144"/>
        <v>Кронштейн ручки двер</v>
      </c>
      <c r="C7733">
        <v>1</v>
      </c>
      <c r="D7733">
        <v>1019.184</v>
      </c>
    </row>
    <row r="7734" spans="1:4">
      <c r="A7734" t="str">
        <f>"80611-JG000"</f>
        <v>80611-JG000</v>
      </c>
      <c r="B7734" t="str">
        <f t="shared" si="144"/>
        <v>Кронштейн ручки двер</v>
      </c>
      <c r="C7734">
        <v>15</v>
      </c>
      <c r="D7734">
        <v>1070.184</v>
      </c>
    </row>
    <row r="7735" spans="1:4">
      <c r="A7735" t="str">
        <f>"80618-3X00A"</f>
        <v>80618-3X00A</v>
      </c>
      <c r="B7735" t="str">
        <f>"Переключатель"</f>
        <v>Переключатель</v>
      </c>
      <c r="C7735">
        <v>0</v>
      </c>
      <c r="D7735">
        <v>710.32800000000009</v>
      </c>
    </row>
    <row r="7736" spans="1:4">
      <c r="A7736" t="str">
        <f>"80639-EB300"</f>
        <v>80639-EB300</v>
      </c>
      <c r="B7736" t="str">
        <f>"Тяга замка"</f>
        <v>Тяга замка</v>
      </c>
      <c r="C7736">
        <v>0</v>
      </c>
      <c r="D7736">
        <v>201.55199999999999</v>
      </c>
    </row>
    <row r="7737" spans="1:4">
      <c r="A7737" t="str">
        <f>"80639-JD00A"</f>
        <v>80639-JD00A</v>
      </c>
      <c r="B7737" t="str">
        <f>"Тяга замка"</f>
        <v>Тяга замка</v>
      </c>
      <c r="C7737">
        <v>12</v>
      </c>
      <c r="D7737">
        <v>110.976</v>
      </c>
    </row>
    <row r="7738" spans="1:4">
      <c r="A7738" t="str">
        <f>"80640-1AA0A"</f>
        <v>80640-1AA0A</v>
      </c>
      <c r="B7738" t="str">
        <f>"Ручка двери наружняя"</f>
        <v>Ручка двери наружняя</v>
      </c>
      <c r="C7738">
        <v>5</v>
      </c>
      <c r="D7738">
        <v>1871.088</v>
      </c>
    </row>
    <row r="7739" spans="1:4">
      <c r="A7739" t="str">
        <f>"80640-1AA1B"</f>
        <v>80640-1AA1B</v>
      </c>
      <c r="B7739" t="str">
        <f>"Ручка двери наружная"</f>
        <v>Ручка двери наружная</v>
      </c>
      <c r="C7739">
        <v>2</v>
      </c>
      <c r="D7739">
        <v>3264.4079999999999</v>
      </c>
    </row>
    <row r="7740" spans="1:4">
      <c r="A7740" t="str">
        <f>"80640-1BF0A"</f>
        <v>80640-1BF0A</v>
      </c>
      <c r="B7740" t="str">
        <f>"Ручка двери наружная"</f>
        <v>Ручка двери наружная</v>
      </c>
      <c r="C7740">
        <v>12</v>
      </c>
      <c r="D7740">
        <v>2343.96</v>
      </c>
    </row>
    <row r="7741" spans="1:4">
      <c r="A7741" t="str">
        <f>"80640-1BF1A"</f>
        <v>80640-1BF1A</v>
      </c>
      <c r="B7741" t="str">
        <f>"GRIP-OUTSIDE HA"</f>
        <v>GRIP-OUTSIDE HA</v>
      </c>
      <c r="C7741">
        <v>0</v>
      </c>
      <c r="D7741">
        <v>2343.96</v>
      </c>
    </row>
    <row r="7742" spans="1:4">
      <c r="A7742" t="str">
        <f>"80640-3X69A"</f>
        <v>80640-3X69A</v>
      </c>
      <c r="B7742" t="str">
        <f>"Ручка двери нару"</f>
        <v>Ручка двери нару</v>
      </c>
      <c r="C7742">
        <v>1</v>
      </c>
      <c r="D7742">
        <v>2717.6879999999996</v>
      </c>
    </row>
    <row r="7743" spans="1:4">
      <c r="A7743" t="str">
        <f>"80640-9W53B"</f>
        <v>80640-9W53B</v>
      </c>
      <c r="B7743" t="str">
        <f>"Ручка двери наружняя"</f>
        <v>Ручка двери наружняя</v>
      </c>
      <c r="C7743">
        <v>4</v>
      </c>
      <c r="D7743">
        <v>2785.8240000000001</v>
      </c>
    </row>
    <row r="7744" spans="1:4">
      <c r="A7744" t="str">
        <f>"80640-9Y200"</f>
        <v>80640-9Y200</v>
      </c>
      <c r="B7744" t="str">
        <f>"Ручка двери наружняя"</f>
        <v>Ручка двери наружняя</v>
      </c>
      <c r="C7744">
        <v>11</v>
      </c>
      <c r="D7744">
        <v>1861.2959999999998</v>
      </c>
    </row>
    <row r="7745" spans="1:4">
      <c r="A7745" t="str">
        <f>"80640-AX62B"</f>
        <v>80640-AX62B</v>
      </c>
      <c r="B7745" t="str">
        <f>"Ручка двери наружняя"</f>
        <v>Ручка двери наружняя</v>
      </c>
      <c r="C7745">
        <v>18</v>
      </c>
      <c r="D7745">
        <v>1010.6159999999999</v>
      </c>
    </row>
    <row r="7746" spans="1:4">
      <c r="A7746" t="str">
        <f>"80640-AX62C"</f>
        <v>80640-AX62C</v>
      </c>
      <c r="B7746" t="str">
        <f>"Ручка двери наружняя"</f>
        <v>Ручка двери наружняя</v>
      </c>
      <c r="C7746">
        <v>9</v>
      </c>
      <c r="D7746">
        <v>1126.4880000000001</v>
      </c>
    </row>
    <row r="7747" spans="1:4">
      <c r="A7747" t="str">
        <f>"80640-CA012"</f>
        <v>80640-CA012</v>
      </c>
      <c r="B7747" t="str">
        <f>"GRIP-OUTSIDE"</f>
        <v>GRIP-OUTSIDE</v>
      </c>
      <c r="C7747">
        <v>31</v>
      </c>
      <c r="D7747">
        <v>2315.4</v>
      </c>
    </row>
    <row r="7748" spans="1:4">
      <c r="A7748" t="str">
        <f>"80640-CL00A"</f>
        <v>80640-CL00A</v>
      </c>
      <c r="B7748" t="str">
        <f t="shared" ref="B7748:B7757" si="145">"Ручка двери наружняя"</f>
        <v>Ручка двери наружняя</v>
      </c>
      <c r="C7748">
        <v>3</v>
      </c>
      <c r="D7748">
        <v>4474.5360000000001</v>
      </c>
    </row>
    <row r="7749" spans="1:4">
      <c r="A7749" t="str">
        <f>"80640-CM80A"</f>
        <v>80640-CM80A</v>
      </c>
      <c r="B7749" t="str">
        <f t="shared" si="145"/>
        <v>Ручка двери наружняя</v>
      </c>
      <c r="C7749">
        <v>1</v>
      </c>
      <c r="D7749">
        <v>2365.5839999999998</v>
      </c>
    </row>
    <row r="7750" spans="1:4">
      <c r="A7750" t="str">
        <f>"80640-CM81A"</f>
        <v>80640-CM81A</v>
      </c>
      <c r="B7750" t="str">
        <f t="shared" si="145"/>
        <v>Ручка двери наружняя</v>
      </c>
      <c r="C7750">
        <v>0</v>
      </c>
      <c r="D7750">
        <v>3797.2559999999999</v>
      </c>
    </row>
    <row r="7751" spans="1:4">
      <c r="A7751" t="str">
        <f>"80640-EB100"</f>
        <v>80640-EB100</v>
      </c>
      <c r="B7751" t="str">
        <f t="shared" si="145"/>
        <v>Ручка двери наружняя</v>
      </c>
      <c r="C7751">
        <v>6</v>
      </c>
      <c r="D7751">
        <v>1274.184</v>
      </c>
    </row>
    <row r="7752" spans="1:4">
      <c r="A7752" t="str">
        <f>"80640-EB331"</f>
        <v>80640-EB331</v>
      </c>
      <c r="B7752" t="str">
        <f t="shared" si="145"/>
        <v>Ручка двери наружняя</v>
      </c>
      <c r="C7752">
        <v>1</v>
      </c>
      <c r="D7752">
        <v>2443.1039999999998</v>
      </c>
    </row>
    <row r="7753" spans="1:4">
      <c r="A7753" t="str">
        <f>"80640-EB33A"</f>
        <v>80640-EB33A</v>
      </c>
      <c r="B7753" t="str">
        <f t="shared" si="145"/>
        <v>Ручка двери наружняя</v>
      </c>
      <c r="C7753">
        <v>16</v>
      </c>
      <c r="D7753">
        <v>1270.104</v>
      </c>
    </row>
    <row r="7754" spans="1:4">
      <c r="A7754" t="str">
        <f>"80640-JD35B"</f>
        <v>80640-JD35B</v>
      </c>
      <c r="B7754" t="str">
        <f t="shared" si="145"/>
        <v>Ручка двери наружняя</v>
      </c>
      <c r="C7754">
        <v>1</v>
      </c>
      <c r="D7754">
        <v>2702.1840000000002</v>
      </c>
    </row>
    <row r="7755" spans="1:4">
      <c r="A7755" t="str">
        <f>"80640-JD35C"</f>
        <v>80640-JD35C</v>
      </c>
      <c r="B7755" t="str">
        <f t="shared" si="145"/>
        <v>Ручка двери наружняя</v>
      </c>
      <c r="C7755">
        <v>0</v>
      </c>
      <c r="D7755">
        <v>2702.1840000000002</v>
      </c>
    </row>
    <row r="7756" spans="1:4">
      <c r="A7756" t="str">
        <f>"80640-JG00A"</f>
        <v>80640-JG00A</v>
      </c>
      <c r="B7756" t="str">
        <f t="shared" si="145"/>
        <v>Ручка двери наружняя</v>
      </c>
      <c r="C7756">
        <v>7</v>
      </c>
      <c r="D7756">
        <v>1632.816</v>
      </c>
    </row>
    <row r="7757" spans="1:4">
      <c r="A7757" t="str">
        <f>"80640-JG02A"</f>
        <v>80640-JG02A</v>
      </c>
      <c r="B7757" t="str">
        <f t="shared" si="145"/>
        <v>Ручка двери наружняя</v>
      </c>
      <c r="C7757">
        <v>2</v>
      </c>
      <c r="D7757">
        <v>3253.7999999999997</v>
      </c>
    </row>
    <row r="7758" spans="1:4">
      <c r="A7758" t="str">
        <f>"80640-JH82B"</f>
        <v>80640-JH82B</v>
      </c>
      <c r="B7758" t="str">
        <f>"Ручка двери наружная"</f>
        <v>Ручка двери наружная</v>
      </c>
      <c r="C7758">
        <v>0</v>
      </c>
      <c r="D7758">
        <v>2946.9839999999999</v>
      </c>
    </row>
    <row r="7759" spans="1:4">
      <c r="A7759" t="str">
        <f>"80640-ZC00A"</f>
        <v>80640-ZC00A</v>
      </c>
      <c r="B7759" t="str">
        <f>"Ручка двери наружняя"</f>
        <v>Ручка двери наружняя</v>
      </c>
      <c r="C7759">
        <v>21</v>
      </c>
      <c r="D7759">
        <v>509.18399999999997</v>
      </c>
    </row>
    <row r="7760" spans="1:4">
      <c r="A7760" t="str">
        <f>"80642-AV600"</f>
        <v>80642-AV600</v>
      </c>
      <c r="B7760" t="str">
        <f>"GRIP-DOOR OUTSI"</f>
        <v>GRIP-DOOR OUTSI</v>
      </c>
      <c r="C7760">
        <v>7</v>
      </c>
      <c r="D7760">
        <v>1400.2560000000001</v>
      </c>
    </row>
    <row r="7761" spans="1:4">
      <c r="A7761" t="str">
        <f>"80642-AV60B"</f>
        <v>80642-AV60B</v>
      </c>
      <c r="B7761" t="str">
        <f>"Ручка двери наружняя"</f>
        <v>Ручка двери наружняя</v>
      </c>
      <c r="C7761">
        <v>5</v>
      </c>
      <c r="D7761">
        <v>1747.056</v>
      </c>
    </row>
    <row r="7762" spans="1:4">
      <c r="A7762" t="str">
        <f>"80644-JG00A"</f>
        <v>80644-JG00A</v>
      </c>
      <c r="B7762" t="str">
        <f>"Облицовка ручки двер"</f>
        <v>Облицовка ручки двер</v>
      </c>
      <c r="C7762">
        <v>6</v>
      </c>
      <c r="D7762">
        <v>343.53599999999994</v>
      </c>
    </row>
    <row r="7763" spans="1:4">
      <c r="A7763" t="str">
        <f>"80645-1AA0A"</f>
        <v>80645-1AA0A</v>
      </c>
      <c r="B7763" t="str">
        <f>"Облицовка ручки двер"</f>
        <v>Облицовка ручки двер</v>
      </c>
      <c r="C7763">
        <v>2</v>
      </c>
      <c r="D7763">
        <v>466.34399999999999</v>
      </c>
    </row>
    <row r="7764" spans="1:4">
      <c r="A7764" t="str">
        <f>"80645-CA000"</f>
        <v>80645-CA000</v>
      </c>
      <c r="B7764" t="str">
        <f>"ESCUTCHEON-OUTS"</f>
        <v>ESCUTCHEON-OUTS</v>
      </c>
      <c r="C7764">
        <v>22</v>
      </c>
      <c r="D7764">
        <v>574.87199999999996</v>
      </c>
    </row>
    <row r="7765" spans="1:4">
      <c r="A7765" t="str">
        <f>"80645-JG00A"</f>
        <v>80645-JG00A</v>
      </c>
      <c r="B7765" t="str">
        <f>"Облицовка ручки двер"</f>
        <v>Облицовка ручки двер</v>
      </c>
      <c r="C7765">
        <v>20</v>
      </c>
      <c r="D7765">
        <v>334.56</v>
      </c>
    </row>
    <row r="7766" spans="1:4">
      <c r="A7766" t="str">
        <f>"80645-JG01A"</f>
        <v>80645-JG01A</v>
      </c>
      <c r="B7766" t="str">
        <f>"ОБЛИЦОВКА хром"</f>
        <v>ОБЛИЦОВКА хром</v>
      </c>
      <c r="C7766">
        <v>0</v>
      </c>
      <c r="D7766">
        <v>543.048</v>
      </c>
    </row>
    <row r="7767" spans="1:4">
      <c r="A7767" t="str">
        <f>"80646-1AA0A"</f>
        <v>80646-1AA0A</v>
      </c>
      <c r="B7767" t="str">
        <f>"Облицовка ручки двер"</f>
        <v>Облицовка ручки двер</v>
      </c>
      <c r="C7767">
        <v>8</v>
      </c>
      <c r="D7767">
        <v>582.62399999999991</v>
      </c>
    </row>
    <row r="7768" spans="1:4">
      <c r="A7768" t="str">
        <f>"80646-1BF0A"</f>
        <v>80646-1BF0A</v>
      </c>
      <c r="B7768" t="str">
        <f>"Облицовка ручки двер"</f>
        <v>Облицовка ручки двер</v>
      </c>
      <c r="C7768">
        <v>5</v>
      </c>
      <c r="D7768">
        <v>613.22399999999993</v>
      </c>
    </row>
    <row r="7769" spans="1:4">
      <c r="A7769" t="str">
        <f>"80646-1BF1A"</f>
        <v>80646-1BF1A</v>
      </c>
      <c r="B7769" t="str">
        <f>"ESCUTCHEON-OUTS"</f>
        <v>ESCUTCHEON-OUTS</v>
      </c>
      <c r="C7769">
        <v>0</v>
      </c>
      <c r="D7769">
        <v>613.22399999999993</v>
      </c>
    </row>
    <row r="7770" spans="1:4">
      <c r="A7770" t="str">
        <f>"80646-9Y000"</f>
        <v>80646-9Y000</v>
      </c>
      <c r="B7770" t="str">
        <f>"Облицовка ручки двер"</f>
        <v>Облицовка ручки двер</v>
      </c>
      <c r="C7770">
        <v>7</v>
      </c>
      <c r="D7770">
        <v>592.00799999999992</v>
      </c>
    </row>
    <row r="7771" spans="1:4">
      <c r="A7771" t="str">
        <f>"80646-AV600"</f>
        <v>80646-AV600</v>
      </c>
      <c r="B7771" t="str">
        <f>"ESCUTCHEON-OUTS"</f>
        <v>ESCUTCHEON-OUTS</v>
      </c>
      <c r="C7771">
        <v>2</v>
      </c>
      <c r="D7771">
        <v>333.74399999999997</v>
      </c>
    </row>
    <row r="7772" spans="1:4">
      <c r="A7772" t="str">
        <f>"80646-AX600"</f>
        <v>80646-AX600</v>
      </c>
      <c r="B7772" t="str">
        <f t="shared" ref="B7772:B7779" si="146">"Облицовка ручки двер"</f>
        <v>Облицовка ручки двер</v>
      </c>
      <c r="C7772">
        <v>0</v>
      </c>
      <c r="D7772">
        <v>328.44</v>
      </c>
    </row>
    <row r="7773" spans="1:4">
      <c r="A7773" t="str">
        <f>"80646-EB100"</f>
        <v>80646-EB100</v>
      </c>
      <c r="B7773" t="str">
        <f t="shared" si="146"/>
        <v>Облицовка ручки двер</v>
      </c>
      <c r="C7773">
        <v>1</v>
      </c>
      <c r="D7773">
        <v>335.37600000000003</v>
      </c>
    </row>
    <row r="7774" spans="1:4">
      <c r="A7774" t="str">
        <f>"80646-EB110"</f>
        <v>80646-EB110</v>
      </c>
      <c r="B7774" t="str">
        <f t="shared" si="146"/>
        <v>Облицовка ручки двер</v>
      </c>
      <c r="C7774">
        <v>2</v>
      </c>
      <c r="D7774">
        <v>343.94400000000002</v>
      </c>
    </row>
    <row r="7775" spans="1:4">
      <c r="A7775" t="str">
        <f>"80646-EB12A"</f>
        <v>80646-EB12A</v>
      </c>
      <c r="B7775" t="str">
        <f t="shared" si="146"/>
        <v>Облицовка ручки двер</v>
      </c>
      <c r="C7775">
        <v>11</v>
      </c>
      <c r="D7775">
        <v>327.21600000000001</v>
      </c>
    </row>
    <row r="7776" spans="1:4">
      <c r="A7776" t="str">
        <f>"80646-EB33B"</f>
        <v>80646-EB33B</v>
      </c>
      <c r="B7776" t="str">
        <f t="shared" si="146"/>
        <v>Облицовка ручки двер</v>
      </c>
      <c r="C7776">
        <v>24</v>
      </c>
      <c r="D7776">
        <v>661.77599999999995</v>
      </c>
    </row>
    <row r="7777" spans="1:4">
      <c r="A7777" t="str">
        <f>"80646-EB33C"</f>
        <v>80646-EB33C</v>
      </c>
      <c r="B7777" t="str">
        <f t="shared" si="146"/>
        <v>Облицовка ручки двер</v>
      </c>
      <c r="C7777">
        <v>4</v>
      </c>
      <c r="D7777">
        <v>290.904</v>
      </c>
    </row>
    <row r="7778" spans="1:4">
      <c r="A7778" t="str">
        <f>"80646-JD33B"</f>
        <v>80646-JD33B</v>
      </c>
      <c r="B7778" t="str">
        <f t="shared" si="146"/>
        <v>Облицовка ручки двер</v>
      </c>
      <c r="C7778">
        <v>3</v>
      </c>
      <c r="D7778">
        <v>342.72</v>
      </c>
    </row>
    <row r="7779" spans="1:4">
      <c r="A7779" t="str">
        <f>"80646-JN23A"</f>
        <v>80646-JN23A</v>
      </c>
      <c r="B7779" t="str">
        <f t="shared" si="146"/>
        <v>Облицовка ручки двер</v>
      </c>
      <c r="C7779">
        <v>0</v>
      </c>
      <c r="D7779">
        <v>715.22399999999993</v>
      </c>
    </row>
    <row r="7780" spans="1:4">
      <c r="A7780" t="str">
        <f>"80647-AV600"</f>
        <v>80647-AV600</v>
      </c>
      <c r="B7780" t="str">
        <f>"CAP-PINION,FRON"</f>
        <v>CAP-PINION,FRON</v>
      </c>
      <c r="C7780">
        <v>37</v>
      </c>
      <c r="D7780">
        <v>303.95999999999998</v>
      </c>
    </row>
    <row r="7781" spans="1:4">
      <c r="A7781" t="str">
        <f>"80647-AV60B"</f>
        <v>80647-AV60B</v>
      </c>
      <c r="B7781" t="str">
        <f>"Заглушка личинки зам"</f>
        <v>Заглушка личинки зам</v>
      </c>
      <c r="C7781">
        <v>50</v>
      </c>
      <c r="D7781">
        <v>297.024</v>
      </c>
    </row>
    <row r="7782" spans="1:4">
      <c r="A7782" t="str">
        <f>"80647-BN860"</f>
        <v>80647-BN860</v>
      </c>
      <c r="B7782" t="str">
        <f>"CAP-PINION,FRON"</f>
        <v>CAP-PINION,FRON</v>
      </c>
      <c r="C7782">
        <v>2</v>
      </c>
      <c r="D7782">
        <v>232.15199999999999</v>
      </c>
    </row>
    <row r="7783" spans="1:4">
      <c r="A7783" t="str">
        <f>"80647-ZC00A"</f>
        <v>80647-ZC00A</v>
      </c>
      <c r="B7783" t="str">
        <f>"Облицовка ручки двер"</f>
        <v>Облицовка ручки двер</v>
      </c>
      <c r="C7783">
        <v>9</v>
      </c>
      <c r="D7783">
        <v>248.47199999999998</v>
      </c>
    </row>
    <row r="7784" spans="1:4">
      <c r="A7784" t="str">
        <f>"80648-AX10B"</f>
        <v>80648-AX10B</v>
      </c>
      <c r="B7784" t="str">
        <f>"Фиксатор замка двери"</f>
        <v>Фиксатор замка двери</v>
      </c>
      <c r="C7784">
        <v>0</v>
      </c>
      <c r="D7784">
        <v>809.47199999999987</v>
      </c>
    </row>
    <row r="7785" spans="1:4">
      <c r="A7785" t="str">
        <f>"80652-CA000"</f>
        <v>80652-CA000</v>
      </c>
      <c r="B7785" t="str">
        <f>"Прокладка уплотнител"</f>
        <v>Прокладка уплотнител</v>
      </c>
      <c r="C7785">
        <v>8</v>
      </c>
      <c r="D7785">
        <v>60.791999999999994</v>
      </c>
    </row>
    <row r="7786" spans="1:4">
      <c r="A7786" t="str">
        <f>"80652-EB300"</f>
        <v>80652-EB300</v>
      </c>
      <c r="B7786" t="str">
        <f>"Прокладка уплотнител"</f>
        <v>Прокладка уплотнител</v>
      </c>
      <c r="C7786">
        <v>15</v>
      </c>
      <c r="D7786">
        <v>62.015999999999998</v>
      </c>
    </row>
    <row r="7787" spans="1:4">
      <c r="A7787" t="str">
        <f>"80652-EL00A"</f>
        <v>80652-EL00A</v>
      </c>
      <c r="B7787" t="str">
        <f>"Прокладка ручки двер"</f>
        <v>Прокладка ручки двер</v>
      </c>
      <c r="C7787">
        <v>2</v>
      </c>
      <c r="D7787">
        <v>43.247999999999998</v>
      </c>
    </row>
    <row r="7788" spans="1:4">
      <c r="A7788" t="str">
        <f>"80652-JG000"</f>
        <v>80652-JG000</v>
      </c>
      <c r="B7788" t="str">
        <f>"Прокладка ручки двер"</f>
        <v>Прокладка ручки двер</v>
      </c>
      <c r="C7788">
        <v>6</v>
      </c>
      <c r="D7788">
        <v>58.751999999999995</v>
      </c>
    </row>
    <row r="7789" spans="1:4">
      <c r="A7789" t="str">
        <f>"80654-CC010"</f>
        <v>80654-CC010</v>
      </c>
      <c r="B7789" t="str">
        <f>"Прокладка уплотнител"</f>
        <v>Прокладка уплотнител</v>
      </c>
      <c r="C7789">
        <v>9</v>
      </c>
      <c r="D7789">
        <v>80.376000000000005</v>
      </c>
    </row>
    <row r="7790" spans="1:4">
      <c r="A7790" t="str">
        <f>"80654-EB300"</f>
        <v>80654-EB300</v>
      </c>
      <c r="B7790" t="str">
        <f>"Прокладка уплотнител"</f>
        <v>Прокладка уплотнител</v>
      </c>
      <c r="C7790">
        <v>19</v>
      </c>
      <c r="D7790">
        <v>78.744</v>
      </c>
    </row>
    <row r="7791" spans="1:4">
      <c r="A7791" t="str">
        <f>"80654-JG000"</f>
        <v>80654-JG000</v>
      </c>
      <c r="B7791" t="str">
        <f>"Прокладка уплотнител"</f>
        <v>Прокладка уплотнител</v>
      </c>
      <c r="C7791">
        <v>15</v>
      </c>
      <c r="D7791">
        <v>82.007999999999996</v>
      </c>
    </row>
    <row r="7792" spans="1:4">
      <c r="A7792" t="str">
        <f>"80670-4X02B"</f>
        <v>80670-4X02B</v>
      </c>
      <c r="B7792" t="str">
        <f t="shared" ref="B7792:B7797" si="147">"Ручка двери"</f>
        <v>Ручка двери</v>
      </c>
      <c r="C7792">
        <v>14</v>
      </c>
      <c r="D7792">
        <v>2196.2640000000001</v>
      </c>
    </row>
    <row r="7793" spans="1:4">
      <c r="A7793" t="str">
        <f>"80670-BN800"</f>
        <v>80670-BN800</v>
      </c>
      <c r="B7793" t="str">
        <f t="shared" si="147"/>
        <v>Ручка двери</v>
      </c>
      <c r="C7793">
        <v>6</v>
      </c>
      <c r="D7793">
        <v>2004.9119999999998</v>
      </c>
    </row>
    <row r="7794" spans="1:4">
      <c r="A7794" t="str">
        <f>"80670-JD00E"</f>
        <v>80670-JD00E</v>
      </c>
      <c r="B7794" t="str">
        <f t="shared" si="147"/>
        <v>Ручка двери</v>
      </c>
      <c r="C7794">
        <v>7</v>
      </c>
      <c r="D7794">
        <v>1615.2719999999999</v>
      </c>
    </row>
    <row r="7795" spans="1:4">
      <c r="A7795" t="str">
        <f>"80671-4X02B"</f>
        <v>80671-4X02B</v>
      </c>
      <c r="B7795" t="str">
        <f t="shared" si="147"/>
        <v>Ручка двери</v>
      </c>
      <c r="C7795">
        <v>3</v>
      </c>
      <c r="D7795">
        <v>2226.4560000000001</v>
      </c>
    </row>
    <row r="7796" spans="1:4">
      <c r="A7796" t="str">
        <f>"80671-BN800"</f>
        <v>80671-BN800</v>
      </c>
      <c r="B7796" t="str">
        <f t="shared" si="147"/>
        <v>Ручка двери</v>
      </c>
      <c r="C7796">
        <v>10</v>
      </c>
      <c r="D7796">
        <v>2004.9119999999998</v>
      </c>
    </row>
    <row r="7797" spans="1:4">
      <c r="A7797" t="str">
        <f>"80671-JD00E"</f>
        <v>80671-JD00E</v>
      </c>
      <c r="B7797" t="str">
        <f t="shared" si="147"/>
        <v>Ручка двери</v>
      </c>
      <c r="C7797">
        <v>0</v>
      </c>
      <c r="D7797">
        <v>839.66399999999999</v>
      </c>
    </row>
    <row r="7798" spans="1:4">
      <c r="A7798" t="str">
        <f>"80721-2Y00A"</f>
        <v>80721-2Y00A</v>
      </c>
      <c r="B7798" t="str">
        <f>"Стеклоподъемник"</f>
        <v>Стеклоподъемник</v>
      </c>
      <c r="C7798">
        <v>4</v>
      </c>
      <c r="D7798">
        <v>2703</v>
      </c>
    </row>
    <row r="7799" spans="1:4">
      <c r="A7799" t="str">
        <f>"80721-8H30A"</f>
        <v>80721-8H30A</v>
      </c>
      <c r="B7799" t="str">
        <f>"Стеклоподъемник"</f>
        <v>Стеклоподъемник</v>
      </c>
      <c r="C7799">
        <v>1</v>
      </c>
      <c r="D7799">
        <v>2742.576</v>
      </c>
    </row>
    <row r="7800" spans="1:4">
      <c r="A7800" t="str">
        <f>"80721-95F0A"</f>
        <v>80721-95F0A</v>
      </c>
      <c r="B7800" t="str">
        <f>"Стеклоподъемник"</f>
        <v>Стеклоподъемник</v>
      </c>
      <c r="C7800">
        <v>0</v>
      </c>
      <c r="D7800">
        <v>2485.944</v>
      </c>
    </row>
    <row r="7801" spans="1:4">
      <c r="A7801" t="str">
        <f>"80721-JG000"</f>
        <v>80721-JG000</v>
      </c>
      <c r="B7801" t="str">
        <f>"Стеклоподъемник"</f>
        <v>Стеклоподъемник</v>
      </c>
      <c r="C7801">
        <v>0</v>
      </c>
      <c r="D7801">
        <v>4685.4719999999998</v>
      </c>
    </row>
    <row r="7802" spans="1:4">
      <c r="A7802" t="str">
        <f>"80730-1LA0A"</f>
        <v>80730-1LA0A</v>
      </c>
      <c r="B7802" t="str">
        <f>"Мотор стеклоподъемни"</f>
        <v>Мотор стеклоподъемни</v>
      </c>
      <c r="C7802">
        <v>3</v>
      </c>
      <c r="D7802">
        <v>9854.0159999999996</v>
      </c>
    </row>
    <row r="7803" spans="1:4">
      <c r="A7803" t="str">
        <f>"80730-BC400"</f>
        <v>80730-BC400</v>
      </c>
      <c r="B7803" t="str">
        <f>"MOTOR ASSY-REGU"</f>
        <v>MOTOR ASSY-REGU</v>
      </c>
      <c r="C7803">
        <v>1</v>
      </c>
      <c r="D7803">
        <v>2856</v>
      </c>
    </row>
    <row r="7804" spans="1:4">
      <c r="A7804" t="str">
        <f>"80731-0H060"</f>
        <v>80731-0H060</v>
      </c>
      <c r="B7804" t="str">
        <f>"Электромотор стеклоп"</f>
        <v>Электромотор стеклоп</v>
      </c>
      <c r="C7804">
        <v>1</v>
      </c>
      <c r="D7804">
        <v>4639.7759999999998</v>
      </c>
    </row>
    <row r="7805" spans="1:4">
      <c r="A7805" t="str">
        <f>"80731-1LA0A"</f>
        <v>80731-1LA0A</v>
      </c>
      <c r="B7805" t="str">
        <f>"Мотор стеклоподъемни"</f>
        <v>Мотор стеклоподъемни</v>
      </c>
      <c r="C7805">
        <v>0</v>
      </c>
      <c r="D7805">
        <v>9854.0159999999996</v>
      </c>
    </row>
    <row r="7806" spans="1:4">
      <c r="A7806" t="str">
        <f>"80731-2Y90A"</f>
        <v>80731-2Y90A</v>
      </c>
      <c r="B7806" t="str">
        <f>"Электромотор стеклоп"</f>
        <v>Электромотор стеклоп</v>
      </c>
      <c r="C7806">
        <v>2</v>
      </c>
      <c r="D7806">
        <v>8998.848</v>
      </c>
    </row>
    <row r="7807" spans="1:4">
      <c r="A7807" t="str">
        <f>"80731-95F0D"</f>
        <v>80731-95F0D</v>
      </c>
      <c r="B7807" t="str">
        <f>"Мотор стеклоподъемни"</f>
        <v>Мотор стеклоподъемни</v>
      </c>
      <c r="C7807">
        <v>0</v>
      </c>
      <c r="D7807">
        <v>8645.9279999999999</v>
      </c>
    </row>
    <row r="7808" spans="1:4">
      <c r="A7808" t="str">
        <f>"80731-9FJ0A"</f>
        <v>80731-9FJ0A</v>
      </c>
      <c r="B7808" t="str">
        <f>"Мотор стеклоподъемни"</f>
        <v>Мотор стеклоподъемни</v>
      </c>
      <c r="C7808">
        <v>1</v>
      </c>
      <c r="D7808">
        <v>7945.7999999999993</v>
      </c>
    </row>
    <row r="7809" spans="1:4">
      <c r="A7809" t="str">
        <f>"80731-CA00A"</f>
        <v>80731-CA00A</v>
      </c>
      <c r="B7809" t="str">
        <f>"Электромотор стеклоп"</f>
        <v>Электромотор стеклоп</v>
      </c>
      <c r="C7809">
        <v>0</v>
      </c>
      <c r="D7809">
        <v>8128.1759999999995</v>
      </c>
    </row>
    <row r="7810" spans="1:4">
      <c r="A7810" t="str">
        <f>"80731-ZT01A"</f>
        <v>80731-ZT01A</v>
      </c>
      <c r="B7810" t="str">
        <f>"Электромотор стеклоп"</f>
        <v>Электромотор стеклоп</v>
      </c>
      <c r="C7810">
        <v>1</v>
      </c>
      <c r="D7810">
        <v>7945.7999999999993</v>
      </c>
    </row>
    <row r="7811" spans="1:4">
      <c r="A7811" t="str">
        <f>"80770-BA20C"</f>
        <v>80770-BA20C</v>
      </c>
      <c r="B7811" t="str">
        <f>"Панель стеклоподъемн"</f>
        <v>Панель стеклоподъемн</v>
      </c>
      <c r="C7811">
        <v>9</v>
      </c>
      <c r="D7811">
        <v>10451.328</v>
      </c>
    </row>
    <row r="7812" spans="1:4">
      <c r="A7812" t="str">
        <f>"80771-BA20C"</f>
        <v>80771-BA20C</v>
      </c>
      <c r="B7812" t="str">
        <f>"Панель стеклоподъемн"</f>
        <v>Панель стеклоподъемн</v>
      </c>
      <c r="C7812">
        <v>15</v>
      </c>
      <c r="D7812">
        <v>9772.0079999999998</v>
      </c>
    </row>
    <row r="7813" spans="1:4">
      <c r="A7813" t="str">
        <f>"80771-JD000"</f>
        <v>80771-JD000</v>
      </c>
      <c r="B7813" t="str">
        <f>"Панель стеклоподъемн"</f>
        <v>Панель стеклоподъемн</v>
      </c>
      <c r="C7813">
        <v>3</v>
      </c>
      <c r="D7813">
        <v>9192.24</v>
      </c>
    </row>
    <row r="7814" spans="1:4">
      <c r="A7814" t="str">
        <f>"80812-1YA1B"</f>
        <v>80812-1YA1B</v>
      </c>
      <c r="B7814" t="str">
        <f>"Наклейка двери защит"</f>
        <v>Наклейка двери защит</v>
      </c>
      <c r="C7814">
        <v>5</v>
      </c>
      <c r="D7814">
        <v>569.56799999999998</v>
      </c>
    </row>
    <row r="7815" spans="1:4">
      <c r="A7815" t="str">
        <f>"80812-2Y010"</f>
        <v>80812-2Y010</v>
      </c>
      <c r="B7815" t="str">
        <f>"TAPE-FR DOOR,RH"</f>
        <v>TAPE-FR DOOR,RH</v>
      </c>
      <c r="C7815">
        <v>3</v>
      </c>
      <c r="D7815">
        <v>565.07999999999993</v>
      </c>
    </row>
    <row r="7816" spans="1:4">
      <c r="A7816" t="str">
        <f>"80812-95F0A"</f>
        <v>80812-95F0A</v>
      </c>
      <c r="B7816" t="str">
        <f>"Наклейка двери защит"</f>
        <v>Наклейка двери защит</v>
      </c>
      <c r="C7816">
        <v>13</v>
      </c>
      <c r="D7816">
        <v>344.76</v>
      </c>
    </row>
    <row r="7817" spans="1:4">
      <c r="A7817" t="str">
        <f>"80812-AV600"</f>
        <v>80812-AV600</v>
      </c>
      <c r="B7817" t="str">
        <f>"TAPE-FRONT DOOR"</f>
        <v>TAPE-FRONT DOOR</v>
      </c>
      <c r="C7817">
        <v>3</v>
      </c>
      <c r="D7817">
        <v>607.91999999999996</v>
      </c>
    </row>
    <row r="7818" spans="1:4">
      <c r="A7818" t="str">
        <f>"80812-BG01A"</f>
        <v>80812-BG01A</v>
      </c>
      <c r="B7818" t="str">
        <f>"Наклейка двери защит"</f>
        <v>Наклейка двери защит</v>
      </c>
      <c r="C7818">
        <v>15</v>
      </c>
      <c r="D7818">
        <v>717.26400000000001</v>
      </c>
    </row>
    <row r="7819" spans="1:4">
      <c r="A7819" t="str">
        <f>"80812-EL000"</f>
        <v>80812-EL000</v>
      </c>
      <c r="B7819" t="str">
        <f>"Наклейка двери защит"</f>
        <v>Наклейка двери защит</v>
      </c>
      <c r="C7819">
        <v>4</v>
      </c>
      <c r="D7819">
        <v>191.352</v>
      </c>
    </row>
    <row r="7820" spans="1:4">
      <c r="A7820" t="str">
        <f>"80812-EY10A"</f>
        <v>80812-EY10A</v>
      </c>
      <c r="B7820" t="str">
        <f>"Наклейка двери защит"</f>
        <v>Наклейка двери защит</v>
      </c>
      <c r="C7820">
        <v>0</v>
      </c>
      <c r="D7820">
        <v>329.66400000000004</v>
      </c>
    </row>
    <row r="7821" spans="1:4">
      <c r="A7821" t="str">
        <f>"80812-JN20A"</f>
        <v>80812-JN20A</v>
      </c>
      <c r="B7821" t="str">
        <f>"Наклейка двери защит"</f>
        <v>Наклейка двери защит</v>
      </c>
      <c r="C7821">
        <v>4</v>
      </c>
      <c r="D7821">
        <v>301.512</v>
      </c>
    </row>
    <row r="7822" spans="1:4">
      <c r="A7822" t="str">
        <f>"80813-1AA0B"</f>
        <v>80813-1AA0B</v>
      </c>
      <c r="B7822" t="str">
        <f>"Наклейка двери"</f>
        <v>Наклейка двери</v>
      </c>
      <c r="C7822">
        <v>0</v>
      </c>
      <c r="D7822">
        <v>541.00799999999992</v>
      </c>
    </row>
    <row r="7823" spans="1:4">
      <c r="A7823" t="str">
        <f>"80813-1YA1B"</f>
        <v>80813-1YA1B</v>
      </c>
      <c r="B7823" t="str">
        <f>"Наклейка двери защит"</f>
        <v>Наклейка двери защит</v>
      </c>
      <c r="C7823">
        <v>19</v>
      </c>
      <c r="D7823">
        <v>587.11199999999997</v>
      </c>
    </row>
    <row r="7824" spans="1:4">
      <c r="A7824" t="str">
        <f>"80813-2Y010"</f>
        <v>80813-2Y010</v>
      </c>
      <c r="B7824" t="str">
        <f>"TAPE-FR DOOR,LH"</f>
        <v>TAPE-FR DOOR,LH</v>
      </c>
      <c r="C7824">
        <v>3</v>
      </c>
      <c r="D7824">
        <v>573.64800000000002</v>
      </c>
    </row>
    <row r="7825" spans="1:4">
      <c r="A7825" t="str">
        <f>"80813-95F0A"</f>
        <v>80813-95F0A</v>
      </c>
      <c r="B7825" t="str">
        <f>"Наклейка двери защит"</f>
        <v>Наклейка двери защит</v>
      </c>
      <c r="C7825">
        <v>6</v>
      </c>
      <c r="D7825">
        <v>347.20799999999997</v>
      </c>
    </row>
    <row r="7826" spans="1:4">
      <c r="A7826" t="str">
        <f>"80813-AV600"</f>
        <v>80813-AV600</v>
      </c>
      <c r="B7826" t="str">
        <f>"TAPE-FRONT DOOR"</f>
        <v>TAPE-FRONT DOOR</v>
      </c>
      <c r="C7826">
        <v>7</v>
      </c>
      <c r="D7826">
        <v>608.73599999999999</v>
      </c>
    </row>
    <row r="7827" spans="1:4">
      <c r="A7827" t="str">
        <f>"80813-BG01A"</f>
        <v>80813-BG01A</v>
      </c>
      <c r="B7827" t="str">
        <f>"Наклейка двери защит"</f>
        <v>Наклейка двери защит</v>
      </c>
      <c r="C7827">
        <v>1</v>
      </c>
      <c r="D7827">
        <v>688.70399999999995</v>
      </c>
    </row>
    <row r="7828" spans="1:4">
      <c r="A7828" t="str">
        <f>"80813-BM700"</f>
        <v>80813-BM700</v>
      </c>
      <c r="B7828" t="str">
        <f>"TAPE-FRONT DOOR"</f>
        <v>TAPE-FRONT DOOR</v>
      </c>
      <c r="C7828">
        <v>3</v>
      </c>
      <c r="D7828">
        <v>563.04</v>
      </c>
    </row>
    <row r="7829" spans="1:4">
      <c r="A7829" t="str">
        <f>"80813-EL000"</f>
        <v>80813-EL000</v>
      </c>
      <c r="B7829" t="str">
        <f>"Наклейка двери"</f>
        <v>Наклейка двери</v>
      </c>
      <c r="C7829">
        <v>2</v>
      </c>
      <c r="D7829">
        <v>191.352</v>
      </c>
    </row>
    <row r="7830" spans="1:4">
      <c r="A7830" t="str">
        <f>"80813-EY10A"</f>
        <v>80813-EY10A</v>
      </c>
      <c r="B7830" t="str">
        <f>"НАКЛЕЙКА ДВЕРИ"</f>
        <v>НАКЛЕЙКА ДВЕРИ</v>
      </c>
      <c r="C7830">
        <v>0</v>
      </c>
      <c r="D7830">
        <v>552.43200000000002</v>
      </c>
    </row>
    <row r="7831" spans="1:4">
      <c r="A7831" t="str">
        <f>"80813-JK00B"</f>
        <v>80813-JK00B</v>
      </c>
      <c r="B7831" t="str">
        <f>"Наклейка двери защит"</f>
        <v>Наклейка двери защит</v>
      </c>
      <c r="C7831">
        <v>0</v>
      </c>
      <c r="D7831">
        <v>620.976</v>
      </c>
    </row>
    <row r="7832" spans="1:4">
      <c r="A7832" t="str">
        <f>"80813-JN20A"</f>
        <v>80813-JN20A</v>
      </c>
      <c r="B7832" t="str">
        <f>"Наклейка двери защит"</f>
        <v>Наклейка двери защит</v>
      </c>
      <c r="C7832">
        <v>0</v>
      </c>
      <c r="D7832">
        <v>283.15199999999999</v>
      </c>
    </row>
    <row r="7833" spans="1:4">
      <c r="A7833" t="str">
        <f>"80816-AV600"</f>
        <v>80816-AV600</v>
      </c>
      <c r="B7833" t="str">
        <f>"TAPE-FRONT DOOR"</f>
        <v>TAPE-FRONT DOOR</v>
      </c>
      <c r="C7833">
        <v>1</v>
      </c>
      <c r="D7833">
        <v>326.39999999999998</v>
      </c>
    </row>
    <row r="7834" spans="1:4">
      <c r="A7834" t="str">
        <f>"80816-CG110"</f>
        <v>80816-CG110</v>
      </c>
      <c r="B7834" t="str">
        <f>"TAPE-FRONT DOOR"</f>
        <v>TAPE-FRONT DOOR</v>
      </c>
      <c r="C7834">
        <v>3</v>
      </c>
      <c r="D7834">
        <v>785.4</v>
      </c>
    </row>
    <row r="7835" spans="1:4">
      <c r="A7835" t="str">
        <f>"80816-EL000"</f>
        <v>80816-EL000</v>
      </c>
      <c r="B7835" t="str">
        <f t="shared" ref="B7835:B7840" si="148">"Наклейка двери защит"</f>
        <v>Наклейка двери защит</v>
      </c>
      <c r="C7835">
        <v>18</v>
      </c>
      <c r="D7835">
        <v>382.29599999999999</v>
      </c>
    </row>
    <row r="7836" spans="1:4">
      <c r="A7836" t="str">
        <f>"80816-JG000"</f>
        <v>80816-JG000</v>
      </c>
      <c r="B7836" t="str">
        <f t="shared" si="148"/>
        <v>Наклейка двери защит</v>
      </c>
      <c r="C7836">
        <v>12</v>
      </c>
      <c r="D7836">
        <v>485.11199999999997</v>
      </c>
    </row>
    <row r="7837" spans="1:4">
      <c r="A7837" t="str">
        <f>"80816-JG010"</f>
        <v>80816-JG010</v>
      </c>
      <c r="B7837" t="str">
        <f t="shared" si="148"/>
        <v>Наклейка двери защит</v>
      </c>
      <c r="C7837">
        <v>3</v>
      </c>
      <c r="D7837">
        <v>479.4</v>
      </c>
    </row>
    <row r="7838" spans="1:4">
      <c r="A7838" t="str">
        <f>"80816-JN20A"</f>
        <v>80816-JN20A</v>
      </c>
      <c r="B7838" t="str">
        <f t="shared" si="148"/>
        <v>Наклейка двери защит</v>
      </c>
      <c r="C7838">
        <v>8</v>
      </c>
      <c r="D7838">
        <v>738.4799999999999</v>
      </c>
    </row>
    <row r="7839" spans="1:4">
      <c r="A7839" t="str">
        <f>"80816-JN20B"</f>
        <v>80816-JN20B</v>
      </c>
      <c r="B7839" t="str">
        <f t="shared" si="148"/>
        <v>Наклейка двери защит</v>
      </c>
      <c r="C7839">
        <v>1</v>
      </c>
      <c r="D7839">
        <v>864.95999999999992</v>
      </c>
    </row>
    <row r="7840" spans="1:4">
      <c r="A7840" t="str">
        <f>"80816-JN21B"</f>
        <v>80816-JN21B</v>
      </c>
      <c r="B7840" t="str">
        <f t="shared" si="148"/>
        <v>Наклейка двери защит</v>
      </c>
      <c r="C7840">
        <v>10</v>
      </c>
      <c r="D7840">
        <v>864.95999999999992</v>
      </c>
    </row>
    <row r="7841" spans="1:4">
      <c r="A7841" t="str">
        <f>"80817-CG110"</f>
        <v>80817-CG110</v>
      </c>
      <c r="B7841" t="str">
        <f>"TAPE-FRONT DOOR"</f>
        <v>TAPE-FRONT DOOR</v>
      </c>
      <c r="C7841">
        <v>5</v>
      </c>
      <c r="D7841">
        <v>797.64</v>
      </c>
    </row>
    <row r="7842" spans="1:4">
      <c r="A7842" t="str">
        <f>"80817-EL000"</f>
        <v>80817-EL000</v>
      </c>
      <c r="B7842" t="str">
        <f t="shared" ref="B7842:B7858" si="149">"Наклейка двери защит"</f>
        <v>Наклейка двери защит</v>
      </c>
      <c r="C7842">
        <v>12</v>
      </c>
      <c r="D7842">
        <v>352.92</v>
      </c>
    </row>
    <row r="7843" spans="1:4">
      <c r="A7843" t="str">
        <f>"80817-JG000"</f>
        <v>80817-JG000</v>
      </c>
      <c r="B7843" t="str">
        <f t="shared" si="149"/>
        <v>Наклейка двери защит</v>
      </c>
      <c r="C7843">
        <v>16</v>
      </c>
      <c r="D7843">
        <v>471.64800000000002</v>
      </c>
    </row>
    <row r="7844" spans="1:4">
      <c r="A7844" t="str">
        <f>"80817-JG010"</f>
        <v>80817-JG010</v>
      </c>
      <c r="B7844" t="str">
        <f t="shared" si="149"/>
        <v>Наклейка двери защит</v>
      </c>
      <c r="C7844">
        <v>3</v>
      </c>
      <c r="D7844">
        <v>548.76</v>
      </c>
    </row>
    <row r="7845" spans="1:4">
      <c r="A7845" t="str">
        <f>"80817-JN20A"</f>
        <v>80817-JN20A</v>
      </c>
      <c r="B7845" t="str">
        <f t="shared" si="149"/>
        <v>Наклейка двери защит</v>
      </c>
      <c r="C7845">
        <v>11</v>
      </c>
      <c r="D7845">
        <v>738.4799999999999</v>
      </c>
    </row>
    <row r="7846" spans="1:4">
      <c r="A7846" t="str">
        <f>"80817-JN21B"</f>
        <v>80817-JN21B</v>
      </c>
      <c r="B7846" t="str">
        <f t="shared" si="149"/>
        <v>Наклейка двери защит</v>
      </c>
      <c r="C7846">
        <v>6</v>
      </c>
      <c r="D7846">
        <v>851.08799999999997</v>
      </c>
    </row>
    <row r="7847" spans="1:4">
      <c r="A7847" t="str">
        <f>"80818-9U00A"</f>
        <v>80818-9U00A</v>
      </c>
      <c r="B7847" t="str">
        <f t="shared" si="149"/>
        <v>Наклейка двери защит</v>
      </c>
      <c r="C7847">
        <v>6</v>
      </c>
      <c r="D7847">
        <v>693.6</v>
      </c>
    </row>
    <row r="7848" spans="1:4">
      <c r="A7848" t="str">
        <f>"80818-EL000"</f>
        <v>80818-EL000</v>
      </c>
      <c r="B7848" t="str">
        <f t="shared" si="149"/>
        <v>Наклейка двери защит</v>
      </c>
      <c r="C7848">
        <v>2</v>
      </c>
      <c r="D7848">
        <v>295.392</v>
      </c>
    </row>
    <row r="7849" spans="1:4">
      <c r="A7849" t="str">
        <f>"80818-JG000"</f>
        <v>80818-JG000</v>
      </c>
      <c r="B7849" t="str">
        <f t="shared" si="149"/>
        <v>Наклейка двери защит</v>
      </c>
      <c r="C7849">
        <v>20</v>
      </c>
      <c r="D7849">
        <v>339.86400000000003</v>
      </c>
    </row>
    <row r="7850" spans="1:4">
      <c r="A7850" t="str">
        <f>"80818-JG010"</f>
        <v>80818-JG010</v>
      </c>
      <c r="B7850" t="str">
        <f t="shared" si="149"/>
        <v>Наклейка двери защит</v>
      </c>
      <c r="C7850">
        <v>3</v>
      </c>
      <c r="D7850">
        <v>377.4</v>
      </c>
    </row>
    <row r="7851" spans="1:4">
      <c r="A7851" t="str">
        <f>"80818-JN20A"</f>
        <v>80818-JN20A</v>
      </c>
      <c r="B7851" t="str">
        <f t="shared" si="149"/>
        <v>Наклейка двери защит</v>
      </c>
      <c r="C7851">
        <v>8</v>
      </c>
      <c r="D7851">
        <v>767.04000000000008</v>
      </c>
    </row>
    <row r="7852" spans="1:4">
      <c r="A7852" t="str">
        <f>"80818-JN20B"</f>
        <v>80818-JN20B</v>
      </c>
      <c r="B7852" t="str">
        <f t="shared" si="149"/>
        <v>Наклейка двери защит</v>
      </c>
      <c r="C7852">
        <v>3</v>
      </c>
      <c r="D7852">
        <v>738.4799999999999</v>
      </c>
    </row>
    <row r="7853" spans="1:4">
      <c r="A7853" t="str">
        <f>"80819-9U00A"</f>
        <v>80819-9U00A</v>
      </c>
      <c r="B7853" t="str">
        <f t="shared" si="149"/>
        <v>Наклейка двери защит</v>
      </c>
      <c r="C7853">
        <v>5</v>
      </c>
      <c r="D7853">
        <v>678.91199999999992</v>
      </c>
    </row>
    <row r="7854" spans="1:4">
      <c r="A7854" t="str">
        <f>"80819-EL000"</f>
        <v>80819-EL000</v>
      </c>
      <c r="B7854" t="str">
        <f t="shared" si="149"/>
        <v>Наклейка двери защит</v>
      </c>
      <c r="C7854">
        <v>1</v>
      </c>
      <c r="D7854">
        <v>272.54399999999998</v>
      </c>
    </row>
    <row r="7855" spans="1:4">
      <c r="A7855" t="str">
        <f>"80819-JG000"</f>
        <v>80819-JG000</v>
      </c>
      <c r="B7855" t="str">
        <f t="shared" si="149"/>
        <v>Наклейка двери защит</v>
      </c>
      <c r="C7855">
        <v>4</v>
      </c>
      <c r="D7855">
        <v>381.072</v>
      </c>
    </row>
    <row r="7856" spans="1:4">
      <c r="A7856" t="str">
        <f>"80819-JG010"</f>
        <v>80819-JG010</v>
      </c>
      <c r="B7856" t="str">
        <f t="shared" si="149"/>
        <v>Наклейка двери защит</v>
      </c>
      <c r="C7856">
        <v>3</v>
      </c>
      <c r="D7856">
        <v>386.37600000000003</v>
      </c>
    </row>
    <row r="7857" spans="1:4">
      <c r="A7857" t="str">
        <f>"80819-JN20A"</f>
        <v>80819-JN20A</v>
      </c>
      <c r="B7857" t="str">
        <f t="shared" si="149"/>
        <v>Наклейка двери защит</v>
      </c>
      <c r="C7857">
        <v>7</v>
      </c>
      <c r="D7857">
        <v>747.86400000000003</v>
      </c>
    </row>
    <row r="7858" spans="1:4">
      <c r="A7858" t="str">
        <f>"80819-JN20B"</f>
        <v>80819-JN20B</v>
      </c>
      <c r="B7858" t="str">
        <f t="shared" si="149"/>
        <v>Наклейка двери защит</v>
      </c>
      <c r="C7858">
        <v>6</v>
      </c>
      <c r="D7858">
        <v>738.4799999999999</v>
      </c>
    </row>
    <row r="7859" spans="1:4">
      <c r="A7859" t="str">
        <f>"80820-0N800"</f>
        <v>80820-0N800</v>
      </c>
      <c r="B7859" t="str">
        <f>"MOULDING ASSY-F"</f>
        <v>MOULDING ASSY-F</v>
      </c>
      <c r="C7859">
        <v>2</v>
      </c>
      <c r="D7859">
        <v>1394.952</v>
      </c>
    </row>
    <row r="7860" spans="1:4">
      <c r="A7860" t="str">
        <f>"80820-1CA0A"</f>
        <v>80820-1CA0A</v>
      </c>
      <c r="B7860" t="str">
        <f>"Молдинг передней две"</f>
        <v>Молдинг передней две</v>
      </c>
      <c r="C7860">
        <v>3</v>
      </c>
      <c r="D7860">
        <v>4295.8320000000003</v>
      </c>
    </row>
    <row r="7861" spans="1:4">
      <c r="A7861" t="str">
        <f>"80820-2Y000"</f>
        <v>80820-2Y000</v>
      </c>
      <c r="B7861" t="str">
        <f>"MLDG ASSY-FR DO"</f>
        <v>MLDG ASSY-FR DO</v>
      </c>
      <c r="C7861">
        <v>1</v>
      </c>
      <c r="D7861">
        <v>2488.7999999999997</v>
      </c>
    </row>
    <row r="7862" spans="1:4">
      <c r="A7862" t="str">
        <f>"80820-8H300"</f>
        <v>80820-8H300</v>
      </c>
      <c r="B7862" t="str">
        <f>"MLDG ASSY-FR DO"</f>
        <v>MLDG ASSY-FR DO</v>
      </c>
      <c r="C7862">
        <v>0</v>
      </c>
      <c r="D7862">
        <v>1391.28</v>
      </c>
    </row>
    <row r="7863" spans="1:4">
      <c r="A7863" t="str">
        <f>"80820-95F0A"</f>
        <v>80820-95F0A</v>
      </c>
      <c r="B7863" t="str">
        <f t="shared" ref="B7863:B7871" si="150">"Молдинг передней две"</f>
        <v>Молдинг передней две</v>
      </c>
      <c r="C7863">
        <v>8</v>
      </c>
      <c r="D7863">
        <v>1346.3999999999999</v>
      </c>
    </row>
    <row r="7864" spans="1:4">
      <c r="A7864" t="str">
        <f>"80820-9Y000"</f>
        <v>80820-9Y000</v>
      </c>
      <c r="B7864" t="str">
        <f t="shared" si="150"/>
        <v>Молдинг передней две</v>
      </c>
      <c r="C7864">
        <v>1</v>
      </c>
      <c r="D7864">
        <v>1874.7599999999998</v>
      </c>
    </row>
    <row r="7865" spans="1:4">
      <c r="A7865" t="str">
        <f>"80820-CL70A"</f>
        <v>80820-CL70A</v>
      </c>
      <c r="B7865" t="str">
        <f t="shared" si="150"/>
        <v>Молдинг передней две</v>
      </c>
      <c r="C7865">
        <v>3</v>
      </c>
      <c r="D7865">
        <v>3986.9759999999997</v>
      </c>
    </row>
    <row r="7866" spans="1:4">
      <c r="A7866" t="str">
        <f>"80820-EE000"</f>
        <v>80820-EE000</v>
      </c>
      <c r="B7866" t="str">
        <f t="shared" si="150"/>
        <v>Молдинг передней две</v>
      </c>
      <c r="C7866">
        <v>6</v>
      </c>
      <c r="D7866">
        <v>1053.864</v>
      </c>
    </row>
    <row r="7867" spans="1:4">
      <c r="A7867" t="str">
        <f>"80820-EE010"</f>
        <v>80820-EE010</v>
      </c>
      <c r="B7867" t="str">
        <f t="shared" si="150"/>
        <v>Молдинг передней две</v>
      </c>
      <c r="C7867">
        <v>5</v>
      </c>
      <c r="D7867">
        <v>2009.3999999999999</v>
      </c>
    </row>
    <row r="7868" spans="1:4">
      <c r="A7868" t="str">
        <f>"80820-JD00A"</f>
        <v>80820-JD00A</v>
      </c>
      <c r="B7868" t="str">
        <f t="shared" si="150"/>
        <v>Молдинг передней две</v>
      </c>
      <c r="C7868">
        <v>0</v>
      </c>
      <c r="D7868">
        <v>1438.6079999999999</v>
      </c>
    </row>
    <row r="7869" spans="1:4">
      <c r="A7869" t="str">
        <f>"80820-JG000"</f>
        <v>80820-JG000</v>
      </c>
      <c r="B7869" t="str">
        <f t="shared" si="150"/>
        <v>Молдинг передней две</v>
      </c>
      <c r="C7869">
        <v>1</v>
      </c>
      <c r="D7869">
        <v>1608.7439999999999</v>
      </c>
    </row>
    <row r="7870" spans="1:4">
      <c r="A7870" t="str">
        <f>"80820-JN00A"</f>
        <v>80820-JN00A</v>
      </c>
      <c r="B7870" t="str">
        <f t="shared" si="150"/>
        <v>Молдинг передней две</v>
      </c>
      <c r="C7870">
        <v>7</v>
      </c>
      <c r="D7870">
        <v>2913.5279999999998</v>
      </c>
    </row>
    <row r="7871" spans="1:4">
      <c r="A7871" t="str">
        <f>"80821-1CA0A"</f>
        <v>80821-1CA0A</v>
      </c>
      <c r="B7871" t="str">
        <f t="shared" si="150"/>
        <v>Молдинг передней две</v>
      </c>
      <c r="C7871">
        <v>3</v>
      </c>
      <c r="D7871">
        <v>4332.1439999999993</v>
      </c>
    </row>
    <row r="7872" spans="1:4">
      <c r="A7872" t="str">
        <f>"80821-8H300"</f>
        <v>80821-8H300</v>
      </c>
      <c r="B7872" t="str">
        <f>"MOULDING ASSY-F"</f>
        <v>MOULDING ASSY-F</v>
      </c>
      <c r="C7872">
        <v>1</v>
      </c>
      <c r="D7872">
        <v>1606.704</v>
      </c>
    </row>
    <row r="7873" spans="1:4">
      <c r="A7873" t="str">
        <f>"80821-95F0A"</f>
        <v>80821-95F0A</v>
      </c>
      <c r="B7873" t="str">
        <f>"Молдинг передней две"</f>
        <v>Молдинг передней две</v>
      </c>
      <c r="C7873">
        <v>3</v>
      </c>
      <c r="D7873">
        <v>1720.5359999999998</v>
      </c>
    </row>
    <row r="7874" spans="1:4">
      <c r="A7874" t="str">
        <f>"80821-9U000"</f>
        <v>80821-9U000</v>
      </c>
      <c r="B7874" t="str">
        <f>"Молдинг передней две"</f>
        <v>Молдинг передней две</v>
      </c>
      <c r="C7874">
        <v>0</v>
      </c>
      <c r="D7874">
        <v>1357.8239999999998</v>
      </c>
    </row>
    <row r="7875" spans="1:4">
      <c r="A7875" t="str">
        <f>"80821-9Y000"</f>
        <v>80821-9Y000</v>
      </c>
      <c r="B7875" t="str">
        <f>"Молдинг передней две"</f>
        <v>Молдинг передней две</v>
      </c>
      <c r="C7875">
        <v>4</v>
      </c>
      <c r="D7875">
        <v>1872.3119999999999</v>
      </c>
    </row>
    <row r="7876" spans="1:4">
      <c r="A7876" t="str">
        <f>"80821-AV600"</f>
        <v>80821-AV600</v>
      </c>
      <c r="B7876" t="str">
        <f>"MOULDING ASSY-F"</f>
        <v>MOULDING ASSY-F</v>
      </c>
      <c r="C7876">
        <v>2</v>
      </c>
      <c r="D7876">
        <v>1569.9839999999999</v>
      </c>
    </row>
    <row r="7877" spans="1:4">
      <c r="A7877" t="str">
        <f>"80821-CL70A"</f>
        <v>80821-CL70A</v>
      </c>
      <c r="B7877" t="str">
        <f t="shared" ref="B7877:B7882" si="151">"Молдинг передней две"</f>
        <v>Молдинг передней две</v>
      </c>
      <c r="C7877">
        <v>3</v>
      </c>
      <c r="D7877">
        <v>3029.4</v>
      </c>
    </row>
    <row r="7878" spans="1:4">
      <c r="A7878" t="str">
        <f>"80821-EE000"</f>
        <v>80821-EE000</v>
      </c>
      <c r="B7878" t="str">
        <f t="shared" si="151"/>
        <v>Молдинг передней две</v>
      </c>
      <c r="C7878">
        <v>0</v>
      </c>
      <c r="D7878">
        <v>875.16</v>
      </c>
    </row>
    <row r="7879" spans="1:4">
      <c r="A7879" t="str">
        <f>"80821-EE010"</f>
        <v>80821-EE010</v>
      </c>
      <c r="B7879" t="str">
        <f t="shared" si="151"/>
        <v>Молдинг передней две</v>
      </c>
      <c r="C7879">
        <v>3</v>
      </c>
      <c r="D7879">
        <v>1725.0239999999999</v>
      </c>
    </row>
    <row r="7880" spans="1:4">
      <c r="A7880" t="str">
        <f>"80821-JD00A"</f>
        <v>80821-JD00A</v>
      </c>
      <c r="B7880" t="str">
        <f t="shared" si="151"/>
        <v>Молдинг передней две</v>
      </c>
      <c r="C7880">
        <v>6</v>
      </c>
      <c r="D7880">
        <v>1520.2079999999999</v>
      </c>
    </row>
    <row r="7881" spans="1:4">
      <c r="A7881" t="str">
        <f>"80821-JG000"</f>
        <v>80821-JG000</v>
      </c>
      <c r="B7881" t="str">
        <f t="shared" si="151"/>
        <v>Молдинг передней две</v>
      </c>
      <c r="C7881">
        <v>2</v>
      </c>
      <c r="D7881">
        <v>1882.9199999999998</v>
      </c>
    </row>
    <row r="7882" spans="1:4">
      <c r="A7882" t="str">
        <f>"80821-JN00A"</f>
        <v>80821-JN00A</v>
      </c>
      <c r="B7882" t="str">
        <f t="shared" si="151"/>
        <v>Молдинг передней две</v>
      </c>
      <c r="C7882">
        <v>5</v>
      </c>
      <c r="D7882">
        <v>1966.9680000000001</v>
      </c>
    </row>
    <row r="7883" spans="1:4">
      <c r="A7883" t="str">
        <f>"80831-2Y000"</f>
        <v>80831-2Y000</v>
      </c>
      <c r="B7883" t="str">
        <f>"WSTRIP ASSY-FR"</f>
        <v>WSTRIP ASSY-FR</v>
      </c>
      <c r="C7883">
        <v>2</v>
      </c>
      <c r="D7883">
        <v>1920.0479999999998</v>
      </c>
    </row>
    <row r="7884" spans="1:4">
      <c r="A7884" t="str">
        <f>"80838-JG000"</f>
        <v>80838-JG000</v>
      </c>
      <c r="B7884" t="str">
        <f>"Уплотнитель двери ни"</f>
        <v>Уплотнитель двери ни</v>
      </c>
      <c r="C7884">
        <v>3</v>
      </c>
      <c r="D7884">
        <v>1084.4639999999999</v>
      </c>
    </row>
    <row r="7885" spans="1:4">
      <c r="A7885" t="str">
        <f>"80850-89917"</f>
        <v>80850-89917</v>
      </c>
      <c r="B7885" t="str">
        <f>"CLIP CANOE B"</f>
        <v>CLIP CANOE B</v>
      </c>
      <c r="C7885">
        <v>21</v>
      </c>
      <c r="D7885">
        <v>34.68</v>
      </c>
    </row>
    <row r="7886" spans="1:4">
      <c r="A7886" t="str">
        <f>"80850-89918"</f>
        <v>80850-89918</v>
      </c>
      <c r="B7886" t="str">
        <f>"CLIP-WEATHERSTR"</f>
        <v>CLIP-WEATHERSTR</v>
      </c>
      <c r="C7886">
        <v>6</v>
      </c>
      <c r="D7886">
        <v>33.047999999999995</v>
      </c>
    </row>
    <row r="7887" spans="1:4">
      <c r="A7887" t="str">
        <f>"80850-89919"</f>
        <v>80850-89919</v>
      </c>
      <c r="B7887" t="str">
        <f>"CLIP-WEATHERSTR"</f>
        <v>CLIP-WEATHERSTR</v>
      </c>
      <c r="C7887">
        <v>0</v>
      </c>
      <c r="D7887">
        <v>36.311999999999998</v>
      </c>
    </row>
    <row r="7888" spans="1:4">
      <c r="A7888" t="str">
        <f>"80850-89921"</f>
        <v>80850-89921</v>
      </c>
      <c r="B7888" t="str">
        <f>"CLIP CANOE B"</f>
        <v>CLIP CANOE B</v>
      </c>
      <c r="C7888">
        <v>10</v>
      </c>
      <c r="D7888">
        <v>35.495999999999995</v>
      </c>
    </row>
    <row r="7889" spans="1:4">
      <c r="A7889" t="str">
        <f>"80850-89922"</f>
        <v>80850-89922</v>
      </c>
      <c r="B7889" t="str">
        <f>"CLIP CANOE B"</f>
        <v>CLIP CANOE B</v>
      </c>
      <c r="C7889">
        <v>40</v>
      </c>
      <c r="D7889">
        <v>35.495999999999995</v>
      </c>
    </row>
    <row r="7890" spans="1:4">
      <c r="A7890" t="str">
        <f>"80850-89923"</f>
        <v>80850-89923</v>
      </c>
      <c r="B7890" t="str">
        <f>"Пистон уплотнителя д"</f>
        <v>Пистон уплотнителя д</v>
      </c>
      <c r="C7890">
        <v>17</v>
      </c>
      <c r="D7890">
        <v>35.087999999999994</v>
      </c>
    </row>
    <row r="7891" spans="1:4">
      <c r="A7891" t="str">
        <f>"80850-CA003"</f>
        <v>80850-CA003</v>
      </c>
      <c r="B7891" t="str">
        <f>"Пистон уплотнителя д"</f>
        <v>Пистон уплотнителя д</v>
      </c>
      <c r="C7891">
        <v>82</v>
      </c>
      <c r="D7891">
        <v>53.04</v>
      </c>
    </row>
    <row r="7892" spans="1:4">
      <c r="A7892" t="str">
        <f>"80850-CA00A"</f>
        <v>80850-CA00A</v>
      </c>
      <c r="B7892" t="str">
        <f>"Пистон уплотнителя д"</f>
        <v>Пистон уплотнителя д</v>
      </c>
      <c r="C7892">
        <v>31</v>
      </c>
      <c r="D7892">
        <v>39.167999999999999</v>
      </c>
    </row>
    <row r="7893" spans="1:4">
      <c r="A7893" t="str">
        <f>"80850-CA00B"</f>
        <v>80850-CA00B</v>
      </c>
      <c r="B7893" t="str">
        <f>"Пистон уплотнителя д"</f>
        <v>Пистон уплотнителя д</v>
      </c>
      <c r="C7893">
        <v>43</v>
      </c>
      <c r="D7893">
        <v>39.167999999999999</v>
      </c>
    </row>
    <row r="7894" spans="1:4">
      <c r="A7894" t="str">
        <f>"80850-JM00A"</f>
        <v>80850-JM00A</v>
      </c>
      <c r="B7894" t="str">
        <f>"Пистон уплотнителя д"</f>
        <v>Пистон уплотнителя д</v>
      </c>
      <c r="C7894">
        <v>10</v>
      </c>
      <c r="D7894">
        <v>28.968</v>
      </c>
    </row>
    <row r="7895" spans="1:4">
      <c r="A7895" t="str">
        <f>"80870-1AA2A"</f>
        <v>80870-1AA2A</v>
      </c>
      <c r="B7895" t="str">
        <f>"Молдинг передней две"</f>
        <v>Молдинг передней две</v>
      </c>
      <c r="C7895">
        <v>0</v>
      </c>
      <c r="D7895">
        <v>2455.752</v>
      </c>
    </row>
    <row r="7896" spans="1:4">
      <c r="A7896" t="str">
        <f>"80870-1BF0A"</f>
        <v>80870-1BF0A</v>
      </c>
      <c r="B7896" t="str">
        <f>"Молдинг передней две"</f>
        <v>Молдинг передней две</v>
      </c>
      <c r="C7896">
        <v>0</v>
      </c>
      <c r="D7896">
        <v>2774.4</v>
      </c>
    </row>
    <row r="7897" spans="1:4">
      <c r="A7897" t="str">
        <f>"80870-1BF0C"</f>
        <v>80870-1BF0C</v>
      </c>
      <c r="B7897" t="str">
        <f>"Молдинг передней две"</f>
        <v>Молдинг передней две</v>
      </c>
      <c r="C7897">
        <v>1</v>
      </c>
      <c r="D7897">
        <v>2774.4</v>
      </c>
    </row>
    <row r="7898" spans="1:4">
      <c r="A7898" t="str">
        <f>"80870-1CJ1A"</f>
        <v>80870-1CJ1A</v>
      </c>
      <c r="B7898" t="str">
        <f>"Молдинг передней две"</f>
        <v>Молдинг передней две</v>
      </c>
      <c r="C7898">
        <v>1</v>
      </c>
      <c r="D7898">
        <v>4670.3760000000002</v>
      </c>
    </row>
    <row r="7899" spans="1:4">
      <c r="A7899" t="str">
        <f>"80870-3Y164"</f>
        <v>80870-3Y164</v>
      </c>
      <c r="B7899" t="str">
        <f>"MOULDING"</f>
        <v>MOULDING</v>
      </c>
      <c r="C7899">
        <v>1</v>
      </c>
      <c r="D7899">
        <v>4569.5999999999995</v>
      </c>
    </row>
    <row r="7900" spans="1:4">
      <c r="A7900" t="str">
        <f>"80870-7S680"</f>
        <v>80870-7S680</v>
      </c>
      <c r="B7900" t="str">
        <f>"MLDNG-FR DOOR R"</f>
        <v>MLDNG-FR DOOR R</v>
      </c>
      <c r="C7900">
        <v>3</v>
      </c>
      <c r="D7900">
        <v>10226.928</v>
      </c>
    </row>
    <row r="7901" spans="1:4">
      <c r="A7901" t="str">
        <f>"80870-8H300"</f>
        <v>80870-8H300</v>
      </c>
      <c r="B7901" t="str">
        <f>"MOULDING"</f>
        <v>MOULDING</v>
      </c>
      <c r="C7901">
        <v>0</v>
      </c>
      <c r="D7901">
        <v>2229.7199999999998</v>
      </c>
    </row>
    <row r="7902" spans="1:4">
      <c r="A7902" t="str">
        <f>"80870-8H303"</f>
        <v>80870-8H303</v>
      </c>
      <c r="B7902" t="str">
        <f>"MOULDING"</f>
        <v>MOULDING</v>
      </c>
      <c r="C7902">
        <v>2</v>
      </c>
      <c r="D7902">
        <v>2355.7919999999999</v>
      </c>
    </row>
    <row r="7903" spans="1:4">
      <c r="A7903" t="str">
        <f>"80870-8H310"</f>
        <v>80870-8H310</v>
      </c>
      <c r="B7903" t="str">
        <f>"MOULDING"</f>
        <v>MOULDING</v>
      </c>
      <c r="C7903">
        <v>2</v>
      </c>
      <c r="D7903">
        <v>2355.7919999999999</v>
      </c>
    </row>
    <row r="7904" spans="1:4">
      <c r="A7904" t="str">
        <f>"80870-9U000"</f>
        <v>80870-9U000</v>
      </c>
      <c r="B7904" t="str">
        <f>"Молдинг передней две"</f>
        <v>Молдинг передней две</v>
      </c>
      <c r="C7904">
        <v>4</v>
      </c>
      <c r="D7904">
        <v>2231.3519999999999</v>
      </c>
    </row>
    <row r="7905" spans="1:4">
      <c r="A7905" t="str">
        <f>"80870-AY200"</f>
        <v>80870-AY200</v>
      </c>
      <c r="B7905" t="str">
        <f>"Молдинг передней две"</f>
        <v>Молдинг передней две</v>
      </c>
      <c r="C7905">
        <v>1</v>
      </c>
      <c r="D7905">
        <v>1772.3520000000001</v>
      </c>
    </row>
    <row r="7906" spans="1:4">
      <c r="A7906" t="str">
        <f>"80870-CA000"</f>
        <v>80870-CA000</v>
      </c>
      <c r="B7906" t="str">
        <f>"MOULDING"</f>
        <v>MOULDING</v>
      </c>
      <c r="C7906">
        <v>2</v>
      </c>
      <c r="D7906">
        <v>2099.5680000000002</v>
      </c>
    </row>
    <row r="7907" spans="1:4">
      <c r="A7907" t="str">
        <f>"80870-CG000"</f>
        <v>80870-CG000</v>
      </c>
      <c r="B7907" t="str">
        <f>"MOULDING"</f>
        <v>MOULDING</v>
      </c>
      <c r="C7907">
        <v>2</v>
      </c>
      <c r="D7907">
        <v>2894.76</v>
      </c>
    </row>
    <row r="7908" spans="1:4">
      <c r="A7908" t="str">
        <f>"80870-CM80A"</f>
        <v>80870-CM80A</v>
      </c>
      <c r="B7908" t="str">
        <f>"Молдинг передней две"</f>
        <v>Молдинг передней две</v>
      </c>
      <c r="C7908">
        <v>5</v>
      </c>
      <c r="D7908">
        <v>4004.5199999999995</v>
      </c>
    </row>
    <row r="7909" spans="1:4">
      <c r="A7909" t="str">
        <f>"80870-JN00B"</f>
        <v>80870-JN00B</v>
      </c>
      <c r="B7909" t="str">
        <f>"Молдинг передней две"</f>
        <v>Молдинг передней две</v>
      </c>
      <c r="C7909">
        <v>2</v>
      </c>
      <c r="D7909">
        <v>1812.336</v>
      </c>
    </row>
    <row r="7910" spans="1:4">
      <c r="A7910" t="str">
        <f>"80870-JN91A"</f>
        <v>80870-JN91A</v>
      </c>
      <c r="B7910" t="str">
        <f>"Молдинг передней две"</f>
        <v>Молдинг передней две</v>
      </c>
      <c r="C7910">
        <v>3</v>
      </c>
      <c r="D7910">
        <v>2949.4320000000002</v>
      </c>
    </row>
    <row r="7911" spans="1:4">
      <c r="A7911" t="str">
        <f>"80870-ZS00E"</f>
        <v>80870-ZS00E</v>
      </c>
      <c r="B7911" t="str">
        <f>"MOULDING-FRONT"</f>
        <v>MOULDING-FRONT</v>
      </c>
      <c r="C7911">
        <v>0</v>
      </c>
      <c r="D7911">
        <v>4783.8</v>
      </c>
    </row>
    <row r="7912" spans="1:4">
      <c r="A7912" t="str">
        <f>"80871-1AA2A"</f>
        <v>80871-1AA2A</v>
      </c>
      <c r="B7912" t="str">
        <f>"Молдинг передней две"</f>
        <v>Молдинг передней две</v>
      </c>
      <c r="C7912">
        <v>0</v>
      </c>
      <c r="D7912">
        <v>2455.752</v>
      </c>
    </row>
    <row r="7913" spans="1:4">
      <c r="A7913" t="str">
        <f>"80871-1BF0C"</f>
        <v>80871-1BF0C</v>
      </c>
      <c r="B7913" t="str">
        <f>"Молдинг передней две"</f>
        <v>Молдинг передней две</v>
      </c>
      <c r="C7913">
        <v>2</v>
      </c>
      <c r="D7913">
        <v>3972.6959999999999</v>
      </c>
    </row>
    <row r="7914" spans="1:4">
      <c r="A7914" t="str">
        <f>"80871-1CJ1A"</f>
        <v>80871-1CJ1A</v>
      </c>
      <c r="B7914" t="str">
        <f>"Молдинг передней две"</f>
        <v>Молдинг передней две</v>
      </c>
      <c r="C7914">
        <v>6</v>
      </c>
      <c r="D7914">
        <v>4433.3279999999995</v>
      </c>
    </row>
    <row r="7915" spans="1:4">
      <c r="A7915" t="str">
        <f>"80871-7S680"</f>
        <v>80871-7S680</v>
      </c>
      <c r="B7915" t="str">
        <f>"Молдинг двери пер ле"</f>
        <v>Молдинг двери пер ле</v>
      </c>
      <c r="C7915">
        <v>4</v>
      </c>
      <c r="D7915">
        <v>9718.152</v>
      </c>
    </row>
    <row r="7916" spans="1:4">
      <c r="A7916" t="str">
        <f>"80871-8H300"</f>
        <v>80871-8H300</v>
      </c>
      <c r="B7916" t="str">
        <f>"MOULDING"</f>
        <v>MOULDING</v>
      </c>
      <c r="C7916">
        <v>4</v>
      </c>
      <c r="D7916">
        <v>2298.672</v>
      </c>
    </row>
    <row r="7917" spans="1:4">
      <c r="A7917" t="str">
        <f>"80871-9U000"</f>
        <v>80871-9U000</v>
      </c>
      <c r="B7917" t="str">
        <f>"Молдинг передней две"</f>
        <v>Молдинг передней две</v>
      </c>
      <c r="C7917">
        <v>0</v>
      </c>
      <c r="D7917">
        <v>2089.3679999999999</v>
      </c>
    </row>
    <row r="7918" spans="1:4">
      <c r="A7918" t="str">
        <f>"80871-BM700"</f>
        <v>80871-BM700</v>
      </c>
      <c r="B7918" t="str">
        <f>"MOULDING-FRONT"</f>
        <v>MOULDING-FRONT</v>
      </c>
      <c r="C7918">
        <v>1</v>
      </c>
      <c r="D7918">
        <v>2428.4160000000002</v>
      </c>
    </row>
    <row r="7919" spans="1:4">
      <c r="A7919" t="str">
        <f>"80871-BR01A"</f>
        <v>80871-BR01A</v>
      </c>
      <c r="B7919" t="str">
        <f>"Молдинг передней две"</f>
        <v>Молдинг передней две</v>
      </c>
      <c r="C7919">
        <v>0</v>
      </c>
      <c r="D7919">
        <v>2106.9119999999998</v>
      </c>
    </row>
    <row r="7920" spans="1:4">
      <c r="A7920" t="str">
        <f>"80871-CA000"</f>
        <v>80871-CA000</v>
      </c>
      <c r="B7920" t="str">
        <f>"MOULDING FR,LH"</f>
        <v>MOULDING FR,LH</v>
      </c>
      <c r="C7920">
        <v>1</v>
      </c>
      <c r="D7920">
        <v>1585.4880000000001</v>
      </c>
    </row>
    <row r="7921" spans="1:4">
      <c r="A7921" t="str">
        <f>"80871-CG000"</f>
        <v>80871-CG000</v>
      </c>
      <c r="B7921" t="str">
        <f>"MOULDING"</f>
        <v>MOULDING</v>
      </c>
      <c r="C7921">
        <v>9</v>
      </c>
      <c r="D7921">
        <v>3751.152</v>
      </c>
    </row>
    <row r="7922" spans="1:4">
      <c r="A7922" t="str">
        <f>"80871-CL70A"</f>
        <v>80871-CL70A</v>
      </c>
      <c r="B7922" t="str">
        <f>"Молдинг передней две"</f>
        <v>Молдинг передней две</v>
      </c>
      <c r="C7922">
        <v>2</v>
      </c>
      <c r="D7922">
        <v>2977.5840000000003</v>
      </c>
    </row>
    <row r="7923" spans="1:4">
      <c r="A7923" t="str">
        <f>"80871-CM80A"</f>
        <v>80871-CM80A</v>
      </c>
      <c r="B7923" t="str">
        <f>"Молдинг передней две"</f>
        <v>Молдинг передней две</v>
      </c>
      <c r="C7923">
        <v>5</v>
      </c>
      <c r="D7923">
        <v>4099.9919999999993</v>
      </c>
    </row>
    <row r="7924" spans="1:4">
      <c r="A7924" t="str">
        <f>"80871-JN00B"</f>
        <v>80871-JN00B</v>
      </c>
      <c r="B7924" t="str">
        <f>"Молдинг передней две"</f>
        <v>Молдинг передней две</v>
      </c>
      <c r="C7924">
        <v>9</v>
      </c>
      <c r="D7924">
        <v>1802.5439999999999</v>
      </c>
    </row>
    <row r="7925" spans="1:4">
      <c r="A7925" t="str">
        <f>"80871-JN90A"</f>
        <v>80871-JN90A</v>
      </c>
      <c r="B7925" t="str">
        <f>"Молдинг передней две"</f>
        <v>Молдинг передней две</v>
      </c>
      <c r="C7925">
        <v>3</v>
      </c>
      <c r="D7925">
        <v>3133.848</v>
      </c>
    </row>
    <row r="7926" spans="1:4">
      <c r="A7926" t="str">
        <f>"80871-JN91A"</f>
        <v>80871-JN91A</v>
      </c>
      <c r="B7926" t="str">
        <f>"MOULDING-FRONT"</f>
        <v>MOULDING-FRONT</v>
      </c>
      <c r="C7926">
        <v>0</v>
      </c>
      <c r="D7926">
        <v>3133.848</v>
      </c>
    </row>
    <row r="7927" spans="1:4">
      <c r="A7927" t="str">
        <f>"80872-95F0A"</f>
        <v>80872-95F0A</v>
      </c>
      <c r="B7927" t="str">
        <f t="shared" ref="B7927:B7935" si="152">"Молдинг передней две"</f>
        <v>Молдинг передней две</v>
      </c>
      <c r="C7927">
        <v>2</v>
      </c>
      <c r="D7927">
        <v>3060</v>
      </c>
    </row>
    <row r="7928" spans="1:4">
      <c r="A7928" t="str">
        <f>"80872-95F0D"</f>
        <v>80872-95F0D</v>
      </c>
      <c r="B7928" t="str">
        <f t="shared" si="152"/>
        <v>Молдинг передней две</v>
      </c>
      <c r="C7928">
        <v>4</v>
      </c>
      <c r="D7928">
        <v>3732.7919999999995</v>
      </c>
    </row>
    <row r="7929" spans="1:4">
      <c r="A7929" t="str">
        <f>"80872-95F0G"</f>
        <v>80872-95F0G</v>
      </c>
      <c r="B7929" t="str">
        <f t="shared" si="152"/>
        <v>Молдинг передней две</v>
      </c>
      <c r="C7929">
        <v>2</v>
      </c>
      <c r="D7929">
        <v>1836</v>
      </c>
    </row>
    <row r="7930" spans="1:4">
      <c r="A7930" t="str">
        <f>"80872-95F0H"</f>
        <v>80872-95F0H</v>
      </c>
      <c r="B7930" t="str">
        <f t="shared" si="152"/>
        <v>Молдинг передней две</v>
      </c>
      <c r="C7930">
        <v>2</v>
      </c>
      <c r="D7930">
        <v>2313.3599999999997</v>
      </c>
    </row>
    <row r="7931" spans="1:4">
      <c r="A7931" t="str">
        <f>"80873-95F0A"</f>
        <v>80873-95F0A</v>
      </c>
      <c r="B7931" t="str">
        <f t="shared" si="152"/>
        <v>Молдинг передней две</v>
      </c>
      <c r="C7931">
        <v>2</v>
      </c>
      <c r="D7931">
        <v>3416.1840000000002</v>
      </c>
    </row>
    <row r="7932" spans="1:4">
      <c r="A7932" t="str">
        <f>"80873-95F0B"</f>
        <v>80873-95F0B</v>
      </c>
      <c r="B7932" t="str">
        <f t="shared" si="152"/>
        <v>Молдинг передней две</v>
      </c>
      <c r="C7932">
        <v>5</v>
      </c>
      <c r="D7932">
        <v>3882.12</v>
      </c>
    </row>
    <row r="7933" spans="1:4">
      <c r="A7933" t="str">
        <f>"80873-95F0D"</f>
        <v>80873-95F0D</v>
      </c>
      <c r="B7933" t="str">
        <f t="shared" si="152"/>
        <v>Молдинг передней две</v>
      </c>
      <c r="C7933">
        <v>2</v>
      </c>
      <c r="D7933">
        <v>3720.5519999999997</v>
      </c>
    </row>
    <row r="7934" spans="1:4">
      <c r="A7934" t="str">
        <f>"80873-95F0G"</f>
        <v>80873-95F0G</v>
      </c>
      <c r="B7934" t="str">
        <f t="shared" si="152"/>
        <v>Молдинг передней две</v>
      </c>
      <c r="C7934">
        <v>9</v>
      </c>
      <c r="D7934">
        <v>4651.2</v>
      </c>
    </row>
    <row r="7935" spans="1:4">
      <c r="A7935" t="str">
        <f>"80873-95F0H"</f>
        <v>80873-95F0H</v>
      </c>
      <c r="B7935" t="str">
        <f t="shared" si="152"/>
        <v>Молдинг передней две</v>
      </c>
      <c r="C7935">
        <v>3</v>
      </c>
      <c r="D7935">
        <v>2396.1839999999997</v>
      </c>
    </row>
    <row r="7936" spans="1:4">
      <c r="A7936" t="str">
        <f>"80874-AX000"</f>
        <v>80874-AX000</v>
      </c>
      <c r="B7936" t="str">
        <f>"Пистон молдинга двер"</f>
        <v>Пистон молдинга двер</v>
      </c>
      <c r="C7936">
        <v>7</v>
      </c>
      <c r="D7936">
        <v>54.263999999999996</v>
      </c>
    </row>
    <row r="7937" spans="1:4">
      <c r="A7937" t="str">
        <f>"80876-9Y010"</f>
        <v>80876-9Y010</v>
      </c>
      <c r="B7937" t="str">
        <f t="shared" ref="B7937:B7942" si="153">"Молдинг передней две"</f>
        <v>Молдинг передней две</v>
      </c>
      <c r="C7937">
        <v>5</v>
      </c>
      <c r="D7937">
        <v>2398.6319999999996</v>
      </c>
    </row>
    <row r="7938" spans="1:4">
      <c r="A7938" t="str">
        <f>"80876-EQ70A"</f>
        <v>80876-EQ70A</v>
      </c>
      <c r="B7938" t="str">
        <f t="shared" si="153"/>
        <v>Молдинг передней две</v>
      </c>
      <c r="C7938">
        <v>4</v>
      </c>
      <c r="D7938">
        <v>1791.528</v>
      </c>
    </row>
    <row r="7939" spans="1:4">
      <c r="A7939" t="str">
        <f>"80876-JG00A"</f>
        <v>80876-JG00A</v>
      </c>
      <c r="B7939" t="str">
        <f t="shared" si="153"/>
        <v>Молдинг передней две</v>
      </c>
      <c r="C7939">
        <v>4</v>
      </c>
      <c r="D7939">
        <v>2914.752</v>
      </c>
    </row>
    <row r="7940" spans="1:4">
      <c r="A7940" t="str">
        <f>"80877-9Y010"</f>
        <v>80877-9Y010</v>
      </c>
      <c r="B7940" t="str">
        <f t="shared" si="153"/>
        <v>Молдинг передней две</v>
      </c>
      <c r="C7940">
        <v>6</v>
      </c>
      <c r="D7940">
        <v>2487.1679999999997</v>
      </c>
    </row>
    <row r="7941" spans="1:4">
      <c r="A7941" t="str">
        <f>"80877-EQ70A"</f>
        <v>80877-EQ70A</v>
      </c>
      <c r="B7941" t="str">
        <f t="shared" si="153"/>
        <v>Молдинг передней две</v>
      </c>
      <c r="C7941">
        <v>9</v>
      </c>
      <c r="D7941">
        <v>1528.7760000000001</v>
      </c>
    </row>
    <row r="7942" spans="1:4">
      <c r="A7942" t="str">
        <f>"80877-JG00A"</f>
        <v>80877-JG00A</v>
      </c>
      <c r="B7942" t="str">
        <f t="shared" si="153"/>
        <v>Молдинг передней две</v>
      </c>
      <c r="C7942">
        <v>0</v>
      </c>
      <c r="D7942">
        <v>2557.752</v>
      </c>
    </row>
    <row r="7943" spans="1:4">
      <c r="A7943" t="str">
        <f>"80886-2Y000"</f>
        <v>80886-2Y000</v>
      </c>
      <c r="B7943" t="str">
        <f>"SEAL-INSIDE HAN"</f>
        <v>SEAL-INSIDE HAN</v>
      </c>
      <c r="C7943">
        <v>1</v>
      </c>
      <c r="D7943">
        <v>99.551999999999992</v>
      </c>
    </row>
    <row r="7944" spans="1:4">
      <c r="A7944" t="str">
        <f>"80897-7J100"</f>
        <v>80897-7J100</v>
      </c>
      <c r="B7944" t="str">
        <f>"CLIP E"</f>
        <v>CLIP E</v>
      </c>
      <c r="C7944">
        <v>11</v>
      </c>
      <c r="D7944">
        <v>44.879999999999995</v>
      </c>
    </row>
    <row r="7945" spans="1:4">
      <c r="A7945" t="str">
        <f>"80901-JH18A"</f>
        <v>80901-JH18A</v>
      </c>
      <c r="B7945" t="str">
        <f>"Обшивка двери"</f>
        <v>Обшивка двери</v>
      </c>
      <c r="C7945">
        <v>3</v>
      </c>
      <c r="D7945">
        <v>14826.72</v>
      </c>
    </row>
    <row r="7946" spans="1:4">
      <c r="A7946" t="str">
        <f>"80925-1WW0A"</f>
        <v>80925-1WW0A</v>
      </c>
      <c r="B7946" t="str">
        <f>"Облицовка двери сало"</f>
        <v>Облицовка двери сало</v>
      </c>
      <c r="C7946">
        <v>1</v>
      </c>
      <c r="D7946">
        <v>10857.287999999999</v>
      </c>
    </row>
    <row r="7947" spans="1:4">
      <c r="A7947" t="str">
        <f>"80933-EJ77A"</f>
        <v>80933-EJ77A</v>
      </c>
      <c r="B7947" t="str">
        <f>"Молдинг двери"</f>
        <v>Молдинг двери</v>
      </c>
      <c r="C7947">
        <v>3</v>
      </c>
      <c r="D7947">
        <v>5557.3680000000004</v>
      </c>
    </row>
    <row r="7948" spans="1:4">
      <c r="A7948" t="str">
        <f>"80940-VC800"</f>
        <v>80940-VC800</v>
      </c>
      <c r="B7948" t="str">
        <f>"ПОДЛОКОТНИК"</f>
        <v>ПОДЛОКОТНИК</v>
      </c>
      <c r="C7948">
        <v>2</v>
      </c>
      <c r="D7948">
        <v>578.952</v>
      </c>
    </row>
    <row r="7949" spans="1:4">
      <c r="A7949" t="str">
        <f>"80957-AV700"</f>
        <v>80957-AV700</v>
      </c>
      <c r="B7949" t="str">
        <f>"BRACKET-DOOR FI"</f>
        <v>BRACKET-DOOR FI</v>
      </c>
      <c r="C7949">
        <v>7</v>
      </c>
      <c r="D7949">
        <v>81.599999999999994</v>
      </c>
    </row>
    <row r="7950" spans="1:4">
      <c r="A7950" t="str">
        <f>"80960-JD000"</f>
        <v>80960-JD000</v>
      </c>
      <c r="B7950" t="str">
        <f>"Накладка обшивки две"</f>
        <v>Накладка обшивки две</v>
      </c>
      <c r="C7950">
        <v>2</v>
      </c>
      <c r="D7950">
        <v>1195.44</v>
      </c>
    </row>
    <row r="7951" spans="1:4">
      <c r="A7951" t="str">
        <f>"80960-JD020"</f>
        <v>80960-JD020</v>
      </c>
      <c r="B7951" t="str">
        <f>"Накладка обшивки две"</f>
        <v>Накладка обшивки две</v>
      </c>
      <c r="C7951">
        <v>2</v>
      </c>
      <c r="D7951">
        <v>1266.8399999999999</v>
      </c>
    </row>
    <row r="7952" spans="1:4">
      <c r="A7952" t="str">
        <f>"80999-VE000"</f>
        <v>80999-VE000</v>
      </c>
      <c r="B7952" t="str">
        <f>"CLIP-FINISHER"</f>
        <v>CLIP-FINISHER</v>
      </c>
      <c r="C7952">
        <v>0</v>
      </c>
      <c r="D7952">
        <v>36.72</v>
      </c>
    </row>
    <row r="7953" spans="1:4">
      <c r="A7953" t="str">
        <f>"82100-95F0C"</f>
        <v>82100-95F0C</v>
      </c>
      <c r="B7953" t="str">
        <f>"Дверь задняя пра"</f>
        <v>Дверь задняя пра</v>
      </c>
      <c r="C7953">
        <v>1</v>
      </c>
      <c r="D7953">
        <v>14129.448</v>
      </c>
    </row>
    <row r="7954" spans="1:4">
      <c r="A7954" t="str">
        <f>"82100-AX130"</f>
        <v>82100-AX130</v>
      </c>
      <c r="B7954" t="str">
        <f>"DOOR-REAR,RH"</f>
        <v>DOOR-REAR,RH</v>
      </c>
      <c r="C7954">
        <v>1</v>
      </c>
      <c r="D7954">
        <v>9217.5360000000001</v>
      </c>
    </row>
    <row r="7955" spans="1:4">
      <c r="A7955" t="str">
        <f>"82100-BA030"</f>
        <v>82100-BA030</v>
      </c>
      <c r="B7955" t="str">
        <f>"DOOR-REAR,RH"</f>
        <v>DOOR-REAR,RH</v>
      </c>
      <c r="C7955">
        <v>1</v>
      </c>
      <c r="D7955">
        <v>12393.816000000001</v>
      </c>
    </row>
    <row r="7956" spans="1:4">
      <c r="A7956" t="str">
        <f>"82100-EL430"</f>
        <v>82100-EL430</v>
      </c>
      <c r="B7956" t="str">
        <f>"Дверь задняя пра"</f>
        <v>Дверь задняя пра</v>
      </c>
      <c r="C7956">
        <v>1</v>
      </c>
      <c r="D7956">
        <v>11228.975999999999</v>
      </c>
    </row>
    <row r="7957" spans="1:4">
      <c r="A7957" t="str">
        <f>"82101-95F0C"</f>
        <v>82101-95F0C</v>
      </c>
      <c r="B7957" t="str">
        <f>"Дверь задняя лев"</f>
        <v>Дверь задняя лев</v>
      </c>
      <c r="C7957">
        <v>0</v>
      </c>
      <c r="D7957">
        <v>14649.648000000001</v>
      </c>
    </row>
    <row r="7958" spans="1:4">
      <c r="A7958" t="str">
        <f>"82101-AX130"</f>
        <v>82101-AX130</v>
      </c>
      <c r="B7958" t="str">
        <f>"DOOR-REAR,LH"</f>
        <v>DOOR-REAR,LH</v>
      </c>
      <c r="C7958">
        <v>1</v>
      </c>
      <c r="D7958">
        <v>9217.5360000000001</v>
      </c>
    </row>
    <row r="7959" spans="1:4">
      <c r="A7959" t="str">
        <f>"82101-EL430"</f>
        <v>82101-EL430</v>
      </c>
      <c r="B7959" t="str">
        <f>"Дверь задняя лев"</f>
        <v>Дверь задняя лев</v>
      </c>
      <c r="C7959">
        <v>0</v>
      </c>
      <c r="D7959">
        <v>11228.975999999999</v>
      </c>
    </row>
    <row r="7960" spans="1:4">
      <c r="A7960" t="str">
        <f>"82250-95F0A"</f>
        <v>82250-95F0A</v>
      </c>
      <c r="B7960" t="str">
        <f>"Стекло задней двери "</f>
        <v xml:space="preserve">Стекло задней двери </v>
      </c>
      <c r="C7960">
        <v>1</v>
      </c>
      <c r="D7960">
        <v>1876.8</v>
      </c>
    </row>
    <row r="7961" spans="1:4">
      <c r="A7961" t="str">
        <f>"82253-95F0A"</f>
        <v>82253-95F0A</v>
      </c>
      <c r="B7961" t="str">
        <f>"Стекло задней двери "</f>
        <v xml:space="preserve">Стекло задней двери </v>
      </c>
      <c r="C7961">
        <v>1</v>
      </c>
      <c r="D7961">
        <v>2216.6639999999998</v>
      </c>
    </row>
    <row r="7962" spans="1:4">
      <c r="A7962" t="str">
        <f>"82262-AX100"</f>
        <v>82262-AX100</v>
      </c>
      <c r="B7962" t="str">
        <f>"GLASS-REAR DOOR"</f>
        <v>GLASS-REAR DOOR</v>
      </c>
      <c r="C7962">
        <v>1</v>
      </c>
      <c r="D7962">
        <v>1149.7439999999999</v>
      </c>
    </row>
    <row r="7963" spans="1:4">
      <c r="A7963" t="str">
        <f>"82262-EL000"</f>
        <v>82262-EL000</v>
      </c>
      <c r="B7963" t="str">
        <f>"УГОЛОК СТЕКЛА"</f>
        <v>УГОЛОК СТЕКЛА</v>
      </c>
      <c r="C7963">
        <v>0</v>
      </c>
      <c r="D7963">
        <v>2267.6639999999998</v>
      </c>
    </row>
    <row r="7964" spans="1:4">
      <c r="A7964" t="str">
        <f>"82262-VB000"</f>
        <v>82262-VB000</v>
      </c>
      <c r="B7964" t="str">
        <f>"GLASS-CORNER"</f>
        <v>GLASS-CORNER</v>
      </c>
      <c r="C7964">
        <v>2</v>
      </c>
      <c r="D7964">
        <v>2416.1759999999999</v>
      </c>
    </row>
    <row r="7965" spans="1:4">
      <c r="A7965" t="str">
        <f>"82262-VD200"</f>
        <v>82262-VD200</v>
      </c>
      <c r="B7965" t="str">
        <f>"Стекло задней двери "</f>
        <v xml:space="preserve">Стекло задней двери </v>
      </c>
      <c r="C7965">
        <v>2</v>
      </c>
      <c r="D7965">
        <v>4725.4560000000001</v>
      </c>
    </row>
    <row r="7966" spans="1:4">
      <c r="A7966" t="str">
        <f>"82263-9M700"</f>
        <v>82263-9M700</v>
      </c>
      <c r="B7966" t="str">
        <f>"GLASS-REAR DOOR"</f>
        <v>GLASS-REAR DOOR</v>
      </c>
      <c r="C7966">
        <v>0</v>
      </c>
      <c r="D7966">
        <v>1461.048</v>
      </c>
    </row>
    <row r="7967" spans="1:4">
      <c r="A7967" t="str">
        <f>"82263-AX100"</f>
        <v>82263-AX100</v>
      </c>
      <c r="B7967" t="str">
        <f>"GLASS-REAR DOOR"</f>
        <v>GLASS-REAR DOOR</v>
      </c>
      <c r="C7967">
        <v>0</v>
      </c>
      <c r="D7967">
        <v>1195.44</v>
      </c>
    </row>
    <row r="7968" spans="1:4">
      <c r="A7968" t="str">
        <f>"82263-EB33A"</f>
        <v>82263-EB33A</v>
      </c>
      <c r="B7968" t="str">
        <f>"Уголок стекла задней"</f>
        <v>Уголок стекла задней</v>
      </c>
      <c r="C7968">
        <v>0</v>
      </c>
      <c r="D7968">
        <v>2445.5520000000001</v>
      </c>
    </row>
    <row r="7969" spans="1:4">
      <c r="A7969" t="str">
        <f>"82263-EL000"</f>
        <v>82263-EL000</v>
      </c>
      <c r="B7969" t="str">
        <f>"Уголок стекла"</f>
        <v>Уголок стекла</v>
      </c>
      <c r="C7969">
        <v>2</v>
      </c>
      <c r="D7969">
        <v>3174.6479999999997</v>
      </c>
    </row>
    <row r="7970" spans="1:4">
      <c r="A7970" t="str">
        <f>"82263-VB000"</f>
        <v>82263-VB000</v>
      </c>
      <c r="B7970" t="str">
        <f>"GLASS-CORNER"</f>
        <v>GLASS-CORNER</v>
      </c>
      <c r="C7970">
        <v>3</v>
      </c>
      <c r="D7970">
        <v>2427.192</v>
      </c>
    </row>
    <row r="7971" spans="1:4">
      <c r="A7971" t="str">
        <f>"82282-CL70A"</f>
        <v>82282-CL70A</v>
      </c>
      <c r="B7971" t="str">
        <f>"Молдинг задней двери"</f>
        <v>Молдинг задней двери</v>
      </c>
      <c r="C7971">
        <v>2</v>
      </c>
      <c r="D7971">
        <v>2005.7280000000001</v>
      </c>
    </row>
    <row r="7972" spans="1:4">
      <c r="A7972" t="str">
        <f>"82290-JD01A"</f>
        <v>82290-JD01A</v>
      </c>
      <c r="B7972" t="str">
        <f>"Заглушка облицовки д"</f>
        <v>Заглушка облицовки д</v>
      </c>
      <c r="C7972">
        <v>3</v>
      </c>
      <c r="D7972">
        <v>1210.1279999999999</v>
      </c>
    </row>
    <row r="7973" spans="1:4">
      <c r="A7973" t="str">
        <f>"82291-9Y000"</f>
        <v>82291-9Y000</v>
      </c>
      <c r="B7973" t="str">
        <f>"Облицовка двери плас"</f>
        <v>Облицовка двери плас</v>
      </c>
      <c r="C7973">
        <v>1</v>
      </c>
      <c r="D7973">
        <v>1021.2239999999999</v>
      </c>
    </row>
    <row r="7974" spans="1:4">
      <c r="A7974" t="str">
        <f>"82291-JD01A"</f>
        <v>82291-JD01A</v>
      </c>
      <c r="B7974" t="str">
        <f>"Заглушка облицовки д"</f>
        <v>Заглушка облицовки д</v>
      </c>
      <c r="C7974">
        <v>7</v>
      </c>
      <c r="D7974">
        <v>1151.7840000000001</v>
      </c>
    </row>
    <row r="7975" spans="1:4">
      <c r="A7975" t="str">
        <f>"82300-1BA1A"</f>
        <v>82300-1BA1A</v>
      </c>
      <c r="B7975" t="str">
        <f>"Стекло задней правой"</f>
        <v>Стекло задней правой</v>
      </c>
      <c r="C7975">
        <v>2</v>
      </c>
      <c r="D7975">
        <v>11290.992</v>
      </c>
    </row>
    <row r="7976" spans="1:4">
      <c r="A7976" t="str">
        <f>"82300-1CA1A"</f>
        <v>82300-1CA1A</v>
      </c>
      <c r="B7976" t="str">
        <f>"Стекло задней двери "</f>
        <v xml:space="preserve">Стекло задней двери </v>
      </c>
      <c r="C7976">
        <v>3</v>
      </c>
      <c r="D7976">
        <v>10892.784</v>
      </c>
    </row>
    <row r="7977" spans="1:4">
      <c r="A7977" t="str">
        <f>"82300-2Y26A"</f>
        <v>82300-2Y26A</v>
      </c>
      <c r="B7977" t="str">
        <f>"Стекло задней правой"</f>
        <v>Стекло задней правой</v>
      </c>
      <c r="C7977">
        <v>1</v>
      </c>
      <c r="D7977">
        <v>7017.5999999999995</v>
      </c>
    </row>
    <row r="7978" spans="1:4">
      <c r="A7978" t="str">
        <f>"82300-8H500"</f>
        <v>82300-8H500</v>
      </c>
      <c r="B7978" t="str">
        <f>"GLASS ASSY-REAR"</f>
        <v>GLASS ASSY-REAR</v>
      </c>
      <c r="C7978">
        <v>1</v>
      </c>
      <c r="D7978">
        <v>9810.36</v>
      </c>
    </row>
    <row r="7979" spans="1:4">
      <c r="A7979" t="str">
        <f>"82300-8H50A"</f>
        <v>82300-8H50A</v>
      </c>
      <c r="B7979" t="str">
        <f>"Стекло задней двери "</f>
        <v xml:space="preserve">Стекло задней двери </v>
      </c>
      <c r="C7979">
        <v>2</v>
      </c>
      <c r="D7979">
        <v>9810.36</v>
      </c>
    </row>
    <row r="7980" spans="1:4">
      <c r="A7980" t="str">
        <f>"82300-9M700"</f>
        <v>82300-9M700</v>
      </c>
      <c r="B7980" t="str">
        <f>"GLASS ASSY-REAR"</f>
        <v>GLASS ASSY-REAR</v>
      </c>
      <c r="C7980">
        <v>1</v>
      </c>
      <c r="D7980">
        <v>3066.9360000000001</v>
      </c>
    </row>
    <row r="7981" spans="1:4">
      <c r="A7981" t="str">
        <f>"82300-AX105"</f>
        <v>82300-AX105</v>
      </c>
      <c r="B7981" t="str">
        <f>"GLASS ASSY-REAR"</f>
        <v>GLASS ASSY-REAR</v>
      </c>
      <c r="C7981">
        <v>2</v>
      </c>
      <c r="D7981">
        <v>2455.3439999999996</v>
      </c>
    </row>
    <row r="7982" spans="1:4">
      <c r="A7982" t="str">
        <f>"82300-CA00A"</f>
        <v>82300-CA00A</v>
      </c>
      <c r="B7982" t="str">
        <f>"Стекло задней двери "</f>
        <v xml:space="preserve">Стекло задней двери </v>
      </c>
      <c r="C7982">
        <v>3</v>
      </c>
      <c r="D7982">
        <v>10246.92</v>
      </c>
    </row>
    <row r="7983" spans="1:4">
      <c r="A7983" t="str">
        <f>"82300-CG000"</f>
        <v>82300-CG000</v>
      </c>
      <c r="B7983" t="str">
        <f>"GLASS ASSY-REAR"</f>
        <v>GLASS ASSY-REAR</v>
      </c>
      <c r="C7983">
        <v>1</v>
      </c>
      <c r="D7983">
        <v>10559.855999999998</v>
      </c>
    </row>
    <row r="7984" spans="1:4">
      <c r="A7984" t="str">
        <f>"82300-EB33A"</f>
        <v>82300-EB33A</v>
      </c>
      <c r="B7984" t="str">
        <f>"Стекло задней двери "</f>
        <v xml:space="preserve">Стекло задней двери </v>
      </c>
      <c r="C7984">
        <v>0</v>
      </c>
      <c r="D7984">
        <v>3452.4959999999996</v>
      </c>
    </row>
    <row r="7985" spans="1:4">
      <c r="A7985" t="str">
        <f>"82300-EL000"</f>
        <v>82300-EL000</v>
      </c>
      <c r="B7985" t="str">
        <f>"Стекло задней двери "</f>
        <v xml:space="preserve">Стекло задней двери </v>
      </c>
      <c r="C7985">
        <v>1</v>
      </c>
      <c r="D7985">
        <v>5095.5119999999997</v>
      </c>
    </row>
    <row r="7986" spans="1:4">
      <c r="A7986" t="str">
        <f>"82300-JD000"</f>
        <v>82300-JD000</v>
      </c>
      <c r="B7986" t="str">
        <f>"Стекло задней двери "</f>
        <v xml:space="preserve">Стекло задней двери </v>
      </c>
      <c r="C7986">
        <v>1</v>
      </c>
      <c r="D7986">
        <v>2558.5679999999998</v>
      </c>
    </row>
    <row r="7987" spans="1:4">
      <c r="A7987" t="str">
        <f>"82300-JG00E"</f>
        <v>82300-JG00E</v>
      </c>
      <c r="B7987" t="str">
        <f>"Стекло задней двери "</f>
        <v xml:space="preserve">Стекло задней двери </v>
      </c>
      <c r="C7987">
        <v>3</v>
      </c>
      <c r="D7987">
        <v>7812.7919999999995</v>
      </c>
    </row>
    <row r="7988" spans="1:4">
      <c r="A7988" t="str">
        <f>"82300-JG10E"</f>
        <v>82300-JG10E</v>
      </c>
      <c r="B7988" t="str">
        <f>"Стекло задней правой"</f>
        <v>Стекло задней правой</v>
      </c>
      <c r="C7988">
        <v>1</v>
      </c>
      <c r="D7988">
        <v>9688.3680000000004</v>
      </c>
    </row>
    <row r="7989" spans="1:4">
      <c r="A7989" t="str">
        <f>"82300-JK000"</f>
        <v>82300-JK000</v>
      </c>
      <c r="B7989" t="str">
        <f>"Стекло задней двери "</f>
        <v xml:space="preserve">Стекло задней двери </v>
      </c>
      <c r="C7989">
        <v>2</v>
      </c>
      <c r="D7989">
        <v>6785.04</v>
      </c>
    </row>
    <row r="7990" spans="1:4">
      <c r="A7990" t="str">
        <f>"82300-JN90A"</f>
        <v>82300-JN90A</v>
      </c>
      <c r="B7990" t="str">
        <f>"Стекло задней двери "</f>
        <v xml:space="preserve">Стекло задней двери </v>
      </c>
      <c r="C7990">
        <v>6</v>
      </c>
      <c r="D7990">
        <v>9192.24</v>
      </c>
    </row>
    <row r="7991" spans="1:4">
      <c r="A7991" t="str">
        <f>"82300-VB00A"</f>
        <v>82300-VB00A</v>
      </c>
      <c r="B7991" t="str">
        <f>"Стекло задней двери "</f>
        <v xml:space="preserve">Стекло задней двери </v>
      </c>
      <c r="C7991">
        <v>1</v>
      </c>
      <c r="D7991">
        <v>4515.3360000000002</v>
      </c>
    </row>
    <row r="7992" spans="1:4">
      <c r="A7992" t="str">
        <f>"82300-VD20A"</f>
        <v>82300-VD20A</v>
      </c>
      <c r="B7992" t="str">
        <f>"Стекло задней двери "</f>
        <v xml:space="preserve">Стекло задней двери </v>
      </c>
      <c r="C7992">
        <v>0</v>
      </c>
      <c r="D7992">
        <v>6981.6959999999999</v>
      </c>
    </row>
    <row r="7993" spans="1:4">
      <c r="A7993" t="str">
        <f>"82301-1BA1A"</f>
        <v>82301-1BA1A</v>
      </c>
      <c r="B7993" t="str">
        <f>"Стекло задней левой "</f>
        <v xml:space="preserve">Стекло задней левой </v>
      </c>
      <c r="C7993">
        <v>2</v>
      </c>
      <c r="D7993">
        <v>11800.175999999999</v>
      </c>
    </row>
    <row r="7994" spans="1:4">
      <c r="A7994" t="str">
        <f>"82301-1CA1A"</f>
        <v>82301-1CA1A</v>
      </c>
      <c r="B7994" t="str">
        <f>"Стекло задней левой "</f>
        <v xml:space="preserve">Стекло задней левой </v>
      </c>
      <c r="C7994">
        <v>4</v>
      </c>
      <c r="D7994">
        <v>10811.591999999999</v>
      </c>
    </row>
    <row r="7995" spans="1:4">
      <c r="A7995" t="str">
        <f>"82301-8H30A"</f>
        <v>82301-8H30A</v>
      </c>
      <c r="B7995" t="str">
        <f>"Стекло задней левой "</f>
        <v xml:space="preserve">Стекло задней левой </v>
      </c>
      <c r="C7995">
        <v>4</v>
      </c>
      <c r="D7995">
        <v>8117.16</v>
      </c>
    </row>
    <row r="7996" spans="1:4">
      <c r="A7996" t="str">
        <f>"82301-8H50A"</f>
        <v>82301-8H50A</v>
      </c>
      <c r="B7996" t="str">
        <f>"Стекло задней двери "</f>
        <v xml:space="preserve">Стекло задней двери </v>
      </c>
      <c r="C7996">
        <v>0</v>
      </c>
      <c r="D7996">
        <v>9656.5439999999999</v>
      </c>
    </row>
    <row r="7997" spans="1:4">
      <c r="A7997" t="str">
        <f>"82301-95F0A"</f>
        <v>82301-95F0A</v>
      </c>
      <c r="B7997" t="str">
        <f>"Стекло задней двери "</f>
        <v xml:space="preserve">Стекло задней двери </v>
      </c>
      <c r="C7997">
        <v>3</v>
      </c>
      <c r="D7997">
        <v>5304</v>
      </c>
    </row>
    <row r="7998" spans="1:4">
      <c r="A7998" t="str">
        <f>"82301-9M700"</f>
        <v>82301-9M700</v>
      </c>
      <c r="B7998" t="str">
        <f>"GLASS ASSY-REAR"</f>
        <v>GLASS ASSY-REAR</v>
      </c>
      <c r="C7998">
        <v>0</v>
      </c>
      <c r="D7998">
        <v>3066.9360000000001</v>
      </c>
    </row>
    <row r="7999" spans="1:4">
      <c r="A7999" t="str">
        <f>"82301-9U000"</f>
        <v>82301-9U000</v>
      </c>
      <c r="B7999" t="str">
        <f>"Стекло задней левой "</f>
        <v xml:space="preserve">Стекло задней левой </v>
      </c>
      <c r="C7999">
        <v>1</v>
      </c>
      <c r="D7999">
        <v>3066.9360000000001</v>
      </c>
    </row>
    <row r="8000" spans="1:4">
      <c r="A8000" t="str">
        <f>"82301-CA00A"</f>
        <v>82301-CA00A</v>
      </c>
      <c r="B8000" t="str">
        <f>"Стекло задней левой "</f>
        <v xml:space="preserve">Стекло задней левой </v>
      </c>
      <c r="C8000">
        <v>5</v>
      </c>
      <c r="D8000">
        <v>10246.92</v>
      </c>
    </row>
    <row r="8001" spans="1:4">
      <c r="A8001" t="str">
        <f>"82301-CG000"</f>
        <v>82301-CG000</v>
      </c>
      <c r="B8001" t="str">
        <f>"GLASS ASSY REAR"</f>
        <v>GLASS ASSY REAR</v>
      </c>
      <c r="C8001">
        <v>3</v>
      </c>
      <c r="D8001">
        <v>11102.904</v>
      </c>
    </row>
    <row r="8002" spans="1:4">
      <c r="A8002" t="str">
        <f>"82301-EB33A"</f>
        <v>82301-EB33A</v>
      </c>
      <c r="B8002" t="str">
        <f>"Стекло задней двери "</f>
        <v xml:space="preserve">Стекло задней двери </v>
      </c>
      <c r="C8002">
        <v>1</v>
      </c>
      <c r="D8002">
        <v>3691.1759999999999</v>
      </c>
    </row>
    <row r="8003" spans="1:4">
      <c r="A8003" t="str">
        <f>"82301-EL000"</f>
        <v>82301-EL000</v>
      </c>
      <c r="B8003" t="str">
        <f t="shared" ref="B8003:B8009" si="154">"Стекло задней левой "</f>
        <v xml:space="preserve">Стекло задней левой </v>
      </c>
      <c r="C8003">
        <v>1</v>
      </c>
      <c r="D8003">
        <v>5917.6319999999996</v>
      </c>
    </row>
    <row r="8004" spans="1:4">
      <c r="A8004" t="str">
        <f>"82301-JD000"</f>
        <v>82301-JD000</v>
      </c>
      <c r="B8004" t="str">
        <f t="shared" si="154"/>
        <v xml:space="preserve">Стекло задней левой </v>
      </c>
      <c r="C8004">
        <v>2</v>
      </c>
      <c r="D8004">
        <v>2558.5679999999998</v>
      </c>
    </row>
    <row r="8005" spans="1:4">
      <c r="A8005" t="str">
        <f>"82301-JG00E"</f>
        <v>82301-JG00E</v>
      </c>
      <c r="B8005" t="str">
        <f t="shared" si="154"/>
        <v xml:space="preserve">Стекло задней левой </v>
      </c>
      <c r="C8005">
        <v>3</v>
      </c>
      <c r="D8005">
        <v>7845.4319999999989</v>
      </c>
    </row>
    <row r="8006" spans="1:4">
      <c r="A8006" t="str">
        <f>"82301-JG10E"</f>
        <v>82301-JG10E</v>
      </c>
      <c r="B8006" t="str">
        <f t="shared" si="154"/>
        <v xml:space="preserve">Стекло задней левой </v>
      </c>
      <c r="C8006">
        <v>5</v>
      </c>
      <c r="D8006">
        <v>9752.0159999999996</v>
      </c>
    </row>
    <row r="8007" spans="1:4">
      <c r="A8007" t="str">
        <f>"82301-JK000"</f>
        <v>82301-JK000</v>
      </c>
      <c r="B8007" t="str">
        <f t="shared" si="154"/>
        <v xml:space="preserve">Стекло задней левой </v>
      </c>
      <c r="C8007">
        <v>1</v>
      </c>
      <c r="D8007">
        <v>5774.8319999999994</v>
      </c>
    </row>
    <row r="8008" spans="1:4">
      <c r="A8008" t="str">
        <f>"82301-JN90A"</f>
        <v>82301-JN90A</v>
      </c>
      <c r="B8008" t="str">
        <f t="shared" si="154"/>
        <v xml:space="preserve">Стекло задней левой </v>
      </c>
      <c r="C8008">
        <v>1</v>
      </c>
      <c r="D8008">
        <v>9078</v>
      </c>
    </row>
    <row r="8009" spans="1:4">
      <c r="A8009" t="str">
        <f>"82301-VD20A"</f>
        <v>82301-VD20A</v>
      </c>
      <c r="B8009" t="str">
        <f t="shared" si="154"/>
        <v xml:space="preserve">Стекло задней левой </v>
      </c>
      <c r="C8009">
        <v>0</v>
      </c>
      <c r="D8009">
        <v>7019.6399999999994</v>
      </c>
    </row>
    <row r="8010" spans="1:4">
      <c r="A8010" t="str">
        <f>"82400-2F030"</f>
        <v>82400-2F030</v>
      </c>
      <c r="B8010" t="str">
        <f>"HINGE ASSY-DOOR"</f>
        <v>HINGE ASSY-DOOR</v>
      </c>
      <c r="C8010">
        <v>2</v>
      </c>
      <c r="D8010">
        <v>1261.9439999999997</v>
      </c>
    </row>
    <row r="8011" spans="1:4">
      <c r="A8011" t="str">
        <f>"82400-2Y90A"</f>
        <v>82400-2Y90A</v>
      </c>
      <c r="B8011" t="str">
        <f>"Петля двери"</f>
        <v>Петля двери</v>
      </c>
      <c r="C8011">
        <v>2</v>
      </c>
      <c r="D8011">
        <v>1132.6079999999999</v>
      </c>
    </row>
    <row r="8012" spans="1:4">
      <c r="A8012" t="str">
        <f>"82400-8H70A"</f>
        <v>82400-8H70A</v>
      </c>
      <c r="B8012" t="str">
        <f>"Петля двери"</f>
        <v>Петля двери</v>
      </c>
      <c r="C8012">
        <v>1</v>
      </c>
      <c r="D8012">
        <v>928.60799999999995</v>
      </c>
    </row>
    <row r="8013" spans="1:4">
      <c r="A8013" t="str">
        <f>"82400-90J35"</f>
        <v>82400-90J35</v>
      </c>
      <c r="B8013" t="str">
        <f>"HINGE ASSY-REAR"</f>
        <v>HINGE ASSY-REAR</v>
      </c>
      <c r="C8013">
        <v>3</v>
      </c>
      <c r="D8013">
        <v>1281.9359999999999</v>
      </c>
    </row>
    <row r="8014" spans="1:4">
      <c r="A8014" t="str">
        <f>"82400-95F0J"</f>
        <v>82400-95F0J</v>
      </c>
      <c r="B8014" t="str">
        <f>"Петля двери"</f>
        <v>Петля двери</v>
      </c>
      <c r="C8014">
        <v>8</v>
      </c>
      <c r="D8014">
        <v>1156.6799999999998</v>
      </c>
    </row>
    <row r="8015" spans="1:4">
      <c r="A8015" t="str">
        <f>"82400-95F0K"</f>
        <v>82400-95F0K</v>
      </c>
      <c r="B8015" t="str">
        <f>"Петля двери"</f>
        <v>Петля двери</v>
      </c>
      <c r="C8015">
        <v>1</v>
      </c>
      <c r="D8015">
        <v>1106.4960000000001</v>
      </c>
    </row>
    <row r="8016" spans="1:4">
      <c r="A8016" t="str">
        <f>"82400-95F0L"</f>
        <v>82400-95F0L</v>
      </c>
      <c r="B8016" t="str">
        <f>"Петля двери"</f>
        <v>Петля двери</v>
      </c>
      <c r="C8016">
        <v>4</v>
      </c>
      <c r="D8016">
        <v>1148.52</v>
      </c>
    </row>
    <row r="8017" spans="1:4">
      <c r="A8017" t="str">
        <f>"82400-95F0M"</f>
        <v>82400-95F0M</v>
      </c>
      <c r="B8017" t="str">
        <f>"Петля двери"</f>
        <v>Петля двери</v>
      </c>
      <c r="C8017">
        <v>2</v>
      </c>
      <c r="D8017">
        <v>1150.152</v>
      </c>
    </row>
    <row r="8018" spans="1:4">
      <c r="A8018" t="str">
        <f>"82400-AV630"</f>
        <v>82400-AV630</v>
      </c>
      <c r="B8018" t="str">
        <f>"HINGE ASSY-REAR"</f>
        <v>HINGE ASSY-REAR</v>
      </c>
      <c r="C8018">
        <v>1</v>
      </c>
      <c r="D8018">
        <v>1130.568</v>
      </c>
    </row>
    <row r="8019" spans="1:4">
      <c r="A8019" t="str">
        <f>"82401-1CA0A"</f>
        <v>82401-1CA0A</v>
      </c>
      <c r="B8019" t="str">
        <f>"Петля двери"</f>
        <v>Петля двери</v>
      </c>
      <c r="C8019">
        <v>1</v>
      </c>
      <c r="D8019">
        <v>938.4</v>
      </c>
    </row>
    <row r="8020" spans="1:4">
      <c r="A8020" t="str">
        <f>"82401-2F030"</f>
        <v>82401-2F030</v>
      </c>
      <c r="B8020" t="str">
        <f>"HINGE ASSY-DOOR"</f>
        <v>HINGE ASSY-DOOR</v>
      </c>
      <c r="C8020">
        <v>2</v>
      </c>
      <c r="D8020">
        <v>1136.6879999999999</v>
      </c>
    </row>
    <row r="8021" spans="1:4">
      <c r="A8021" t="str">
        <f>"82401-2Y90A"</f>
        <v>82401-2Y90A</v>
      </c>
      <c r="B8021" t="str">
        <f>"Петля двери"</f>
        <v>Петля двери</v>
      </c>
      <c r="C8021">
        <v>5</v>
      </c>
      <c r="D8021">
        <v>1168.5119999999999</v>
      </c>
    </row>
    <row r="8022" spans="1:4">
      <c r="A8022" t="str">
        <f>"82401-90J35"</f>
        <v>82401-90J35</v>
      </c>
      <c r="B8022" t="str">
        <f>"HINGE ASSY-REAR"</f>
        <v>HINGE ASSY-REAR</v>
      </c>
      <c r="C8022">
        <v>5</v>
      </c>
      <c r="D8022">
        <v>1290.5040000000001</v>
      </c>
    </row>
    <row r="8023" spans="1:4">
      <c r="A8023" t="str">
        <f>"82401-AV630"</f>
        <v>82401-AV630</v>
      </c>
      <c r="B8023" t="str">
        <f>"HINGE ASSY-REAR"</f>
        <v>HINGE ASSY-REAR</v>
      </c>
      <c r="C8023">
        <v>5</v>
      </c>
      <c r="D8023">
        <v>1122.8159999999998</v>
      </c>
    </row>
    <row r="8024" spans="1:4">
      <c r="A8024" t="str">
        <f>"82420-2F030"</f>
        <v>82420-2F030</v>
      </c>
      <c r="B8024" t="str">
        <f>"HINGE ASSY-DOOR"</f>
        <v>HINGE ASSY-DOOR</v>
      </c>
      <c r="C8024">
        <v>5</v>
      </c>
      <c r="D8024">
        <v>1147.296</v>
      </c>
    </row>
    <row r="8025" spans="1:4">
      <c r="A8025" t="str">
        <f>"82420-2J00A"</f>
        <v>82420-2J00A</v>
      </c>
      <c r="B8025" t="str">
        <f>"Петля двери"</f>
        <v>Петля двери</v>
      </c>
      <c r="C8025">
        <v>27</v>
      </c>
      <c r="D8025">
        <v>1157.088</v>
      </c>
    </row>
    <row r="8026" spans="1:4">
      <c r="A8026" t="str">
        <f>"82420-4P00A"</f>
        <v>82420-4P00A</v>
      </c>
      <c r="B8026" t="str">
        <f>"Петля двери"</f>
        <v>Петля двери</v>
      </c>
      <c r="C8026">
        <v>0</v>
      </c>
      <c r="D8026">
        <v>1108.1279999999999</v>
      </c>
    </row>
    <row r="8027" spans="1:4">
      <c r="A8027" t="str">
        <f>"82421-2F030"</f>
        <v>82421-2F030</v>
      </c>
      <c r="B8027" t="str">
        <f>"HINGE ASSY-DOOR"</f>
        <v>HINGE ASSY-DOOR</v>
      </c>
      <c r="C8027">
        <v>16</v>
      </c>
      <c r="D8027">
        <v>1289.6879999999999</v>
      </c>
    </row>
    <row r="8028" spans="1:4">
      <c r="A8028" t="str">
        <f>"82421-2J00A"</f>
        <v>82421-2J00A</v>
      </c>
      <c r="B8028" t="str">
        <f>"Петля двери"</f>
        <v>Петля двери</v>
      </c>
      <c r="C8028">
        <v>29</v>
      </c>
      <c r="D8028">
        <v>1161.1679999999999</v>
      </c>
    </row>
    <row r="8029" spans="1:4">
      <c r="A8029" t="str">
        <f>"82421-4P00A"</f>
        <v>82421-4P00A</v>
      </c>
      <c r="B8029" t="str">
        <f>"Петля двери"</f>
        <v>Петля двери</v>
      </c>
      <c r="C8029">
        <v>4</v>
      </c>
      <c r="D8029">
        <v>1119.5519999999999</v>
      </c>
    </row>
    <row r="8030" spans="1:4">
      <c r="A8030" t="str">
        <f>"82500-AV60B"</f>
        <v>82500-AV60B</v>
      </c>
      <c r="B8030" t="str">
        <f>"Замок двери электром"</f>
        <v>Замок двери электром</v>
      </c>
      <c r="C8030">
        <v>5</v>
      </c>
      <c r="D8030">
        <v>4351.7280000000001</v>
      </c>
    </row>
    <row r="8031" spans="1:4">
      <c r="A8031" t="str">
        <f>"82500-CA02B"</f>
        <v>82500-CA02B</v>
      </c>
      <c r="B8031" t="str">
        <f>"Замок двери электром"</f>
        <v>Замок двери электром</v>
      </c>
      <c r="C8031">
        <v>2</v>
      </c>
      <c r="D8031">
        <v>5097.5519999999997</v>
      </c>
    </row>
    <row r="8032" spans="1:4">
      <c r="A8032" t="str">
        <f>"82500-CZ70A"</f>
        <v>82500-CZ70A</v>
      </c>
      <c r="B8032" t="str">
        <f>"Замок двери электром"</f>
        <v>Замок двери электром</v>
      </c>
      <c r="C8032">
        <v>2</v>
      </c>
      <c r="D8032">
        <v>4375.3919999999998</v>
      </c>
    </row>
    <row r="8033" spans="1:4">
      <c r="A8033" t="str">
        <f>"82501-AV60B"</f>
        <v>82501-AV60B</v>
      </c>
      <c r="B8033" t="str">
        <f>"Замок двери электром"</f>
        <v>Замок двери электром</v>
      </c>
      <c r="C8033">
        <v>0</v>
      </c>
      <c r="D8033">
        <v>4355.808</v>
      </c>
    </row>
    <row r="8034" spans="1:4">
      <c r="A8034" t="str">
        <f>"82501-CZ70A"</f>
        <v>82501-CZ70A</v>
      </c>
      <c r="B8034" t="str">
        <f>"Замок двери электром"</f>
        <v>Замок двери электром</v>
      </c>
      <c r="C8034">
        <v>11</v>
      </c>
      <c r="D8034">
        <v>5163.24</v>
      </c>
    </row>
    <row r="8035" spans="1:4">
      <c r="A8035" t="str">
        <f>"82501-JN20A"</f>
        <v>82501-JN20A</v>
      </c>
      <c r="B8035" t="str">
        <f>"Замок электромеханич"</f>
        <v>Замок электромеханич</v>
      </c>
      <c r="C8035">
        <v>2</v>
      </c>
      <c r="D8035">
        <v>5333.3759999999993</v>
      </c>
    </row>
    <row r="8036" spans="1:4">
      <c r="A8036" t="str">
        <f>"82563-3Y500"</f>
        <v>82563-3Y500</v>
      </c>
      <c r="B8036" t="str">
        <f>"COVER-REAR DOOR"</f>
        <v>COVER-REAR DOOR</v>
      </c>
      <c r="C8036">
        <v>1</v>
      </c>
      <c r="D8036">
        <v>213.38399999999999</v>
      </c>
    </row>
    <row r="8037" spans="1:4">
      <c r="A8037" t="str">
        <f>"82606-8H30A"</f>
        <v>82606-8H30A</v>
      </c>
      <c r="B8037" t="str">
        <f>"Ручка двери"</f>
        <v>Ручка двери</v>
      </c>
      <c r="C8037">
        <v>1</v>
      </c>
      <c r="D8037">
        <v>2144.8560000000002</v>
      </c>
    </row>
    <row r="8038" spans="1:4">
      <c r="A8038" t="str">
        <f>"82606-BM760"</f>
        <v>82606-BM760</v>
      </c>
      <c r="B8038" t="str">
        <f>"HANDLE ASSY-REA"</f>
        <v>HANDLE ASSY-REA</v>
      </c>
      <c r="C8038">
        <v>3</v>
      </c>
      <c r="D8038">
        <v>2649.5520000000001</v>
      </c>
    </row>
    <row r="8039" spans="1:4">
      <c r="A8039" t="str">
        <f>"82610-9Y200"</f>
        <v>82610-9Y200</v>
      </c>
      <c r="B8039" t="str">
        <f>"Кронштейн ручки двер"</f>
        <v>Кронштейн ручки двер</v>
      </c>
      <c r="C8039">
        <v>1</v>
      </c>
      <c r="D8039">
        <v>1020</v>
      </c>
    </row>
    <row r="8040" spans="1:4">
      <c r="A8040" t="str">
        <f>"82640-1BF1A"</f>
        <v>82640-1BF1A</v>
      </c>
      <c r="B8040" t="str">
        <f>"нет детальки"</f>
        <v>нет детальки</v>
      </c>
      <c r="C8040">
        <v>0</v>
      </c>
      <c r="D8040">
        <v>2092.6319999999996</v>
      </c>
    </row>
    <row r="8041" spans="1:4">
      <c r="A8041" t="str">
        <f>"82646-1BF0A"</f>
        <v>82646-1BF0A</v>
      </c>
      <c r="B8041" t="str">
        <f>"Облицовка ручки лвер"</f>
        <v>Облицовка ручки лвер</v>
      </c>
      <c r="C8041">
        <v>2</v>
      </c>
      <c r="D8041">
        <v>498.98399999999998</v>
      </c>
    </row>
    <row r="8042" spans="1:4">
      <c r="A8042" t="str">
        <f>"82646-1BF1A"</f>
        <v>82646-1BF1A</v>
      </c>
      <c r="B8042" t="str">
        <f>"ESCUTCHEON-OUTS"</f>
        <v>ESCUTCHEON-OUTS</v>
      </c>
      <c r="C8042">
        <v>0</v>
      </c>
      <c r="D8042">
        <v>498.98399999999998</v>
      </c>
    </row>
    <row r="8043" spans="1:4">
      <c r="A8043" t="str">
        <f>"82646-9Y000"</f>
        <v>82646-9Y000</v>
      </c>
      <c r="B8043" t="str">
        <f>"Облицовка ручки двер"</f>
        <v>Облицовка ручки двер</v>
      </c>
      <c r="C8043">
        <v>7</v>
      </c>
      <c r="D8043">
        <v>556.91999999999996</v>
      </c>
    </row>
    <row r="8044" spans="1:4">
      <c r="A8044" t="str">
        <f>"82646-CA000"</f>
        <v>82646-CA000</v>
      </c>
      <c r="B8044" t="str">
        <f>"ESCUTCHEON-OUTS"</f>
        <v>ESCUTCHEON-OUTS</v>
      </c>
      <c r="C8044">
        <v>13</v>
      </c>
      <c r="D8044">
        <v>529.58399999999995</v>
      </c>
    </row>
    <row r="8045" spans="1:4">
      <c r="A8045" t="str">
        <f>"82646-CM80A"</f>
        <v>82646-CM80A</v>
      </c>
      <c r="B8045" t="str">
        <f>"Облицовка ручки двер"</f>
        <v>Облицовка ручки двер</v>
      </c>
      <c r="C8045">
        <v>1</v>
      </c>
      <c r="D8045">
        <v>485.928</v>
      </c>
    </row>
    <row r="8046" spans="1:4">
      <c r="A8046" t="str">
        <f>"82646-JG00A"</f>
        <v>82646-JG00A</v>
      </c>
      <c r="B8046" t="str">
        <f>"Облицовка ручки двер"</f>
        <v>Облицовка ручки двер</v>
      </c>
      <c r="C8046">
        <v>0</v>
      </c>
      <c r="D8046">
        <v>352.10399999999998</v>
      </c>
    </row>
    <row r="8047" spans="1:4">
      <c r="A8047" t="str">
        <f>"82812-1AA1B"</f>
        <v>82812-1AA1B</v>
      </c>
      <c r="B8047" t="str">
        <f>"Наклейка двери защит"</f>
        <v>Наклейка двери защит</v>
      </c>
      <c r="C8047">
        <v>0</v>
      </c>
      <c r="D8047">
        <v>624.24</v>
      </c>
    </row>
    <row r="8048" spans="1:4">
      <c r="A8048" t="str">
        <f>"82812-1BA0A"</f>
        <v>82812-1BA0A</v>
      </c>
      <c r="B8048" t="str">
        <f>"Наклейка двери защит"</f>
        <v>Наклейка двери защит</v>
      </c>
      <c r="C8048">
        <v>0</v>
      </c>
      <c r="D8048">
        <v>343.94400000000002</v>
      </c>
    </row>
    <row r="8049" spans="1:4">
      <c r="A8049" t="str">
        <f>"82812-1YA1B"</f>
        <v>82812-1YA1B</v>
      </c>
      <c r="B8049" t="str">
        <f>"Наклейка двери защит"</f>
        <v>Наклейка двери защит</v>
      </c>
      <c r="C8049">
        <v>13</v>
      </c>
      <c r="D8049">
        <v>667.48799999999994</v>
      </c>
    </row>
    <row r="8050" spans="1:4">
      <c r="A8050" t="str">
        <f>"82812-95F0A"</f>
        <v>82812-95F0A</v>
      </c>
      <c r="B8050" t="str">
        <f>"Наклейка двери защит"</f>
        <v>Наклейка двери защит</v>
      </c>
      <c r="C8050">
        <v>8</v>
      </c>
      <c r="D8050">
        <v>326.39999999999998</v>
      </c>
    </row>
    <row r="8051" spans="1:4">
      <c r="A8051" t="str">
        <f>"82812-AV600"</f>
        <v>82812-AV600</v>
      </c>
      <c r="B8051" t="str">
        <f>"SEAL-REAR DOOR"</f>
        <v>SEAL-REAR DOOR</v>
      </c>
      <c r="C8051">
        <v>4</v>
      </c>
      <c r="D8051">
        <v>616.48799999999994</v>
      </c>
    </row>
    <row r="8052" spans="1:4">
      <c r="A8052" t="str">
        <f>"82812-BM700"</f>
        <v>82812-BM700</v>
      </c>
      <c r="B8052" t="str">
        <f>"TAPE-REAR DOOR"</f>
        <v>TAPE-REAR DOOR</v>
      </c>
      <c r="C8052">
        <v>2</v>
      </c>
      <c r="D8052">
        <v>478.99200000000002</v>
      </c>
    </row>
    <row r="8053" spans="1:4">
      <c r="A8053" t="str">
        <f>"82812-BU000"</f>
        <v>82812-BU000</v>
      </c>
      <c r="B8053" t="str">
        <f>"TAPE-REAR DOOR"</f>
        <v>TAPE-REAR DOOR</v>
      </c>
      <c r="C8053">
        <v>19</v>
      </c>
      <c r="D8053">
        <v>548.35199999999998</v>
      </c>
    </row>
    <row r="8054" spans="1:4">
      <c r="A8054" t="str">
        <f>"82812-EL000"</f>
        <v>82812-EL000</v>
      </c>
      <c r="B8054" t="str">
        <f>"Наклейка двери защит"</f>
        <v>Наклейка двери защит</v>
      </c>
      <c r="C8054">
        <v>9</v>
      </c>
      <c r="D8054">
        <v>191.352</v>
      </c>
    </row>
    <row r="8055" spans="1:4">
      <c r="A8055" t="str">
        <f>"82812-EL400"</f>
        <v>82812-EL400</v>
      </c>
      <c r="B8055" t="str">
        <f>"Наклейка двери защит"</f>
        <v>Наклейка двери защит</v>
      </c>
      <c r="C8055">
        <v>0</v>
      </c>
      <c r="D8055">
        <v>169.32</v>
      </c>
    </row>
    <row r="8056" spans="1:4">
      <c r="A8056" t="str">
        <f>"82812-EY10A"</f>
        <v>82812-EY10A</v>
      </c>
      <c r="B8056" t="str">
        <f>"НАКЛЕЙКА ДВЕРИ"</f>
        <v>НАКЛЕЙКА ДВЕРИ</v>
      </c>
      <c r="C8056">
        <v>0</v>
      </c>
      <c r="D8056">
        <v>663.81599999999992</v>
      </c>
    </row>
    <row r="8057" spans="1:4">
      <c r="A8057" t="str">
        <f>"82812-JD02B"</f>
        <v>82812-JD02B</v>
      </c>
      <c r="B8057" t="str">
        <f>"Наклейка двери защит"</f>
        <v>Наклейка двери защит</v>
      </c>
      <c r="C8057">
        <v>5</v>
      </c>
      <c r="D8057">
        <v>365.16</v>
      </c>
    </row>
    <row r="8058" spans="1:4">
      <c r="A8058" t="str">
        <f>"82812-JG000"</f>
        <v>82812-JG000</v>
      </c>
      <c r="B8058" t="str">
        <f>"Наклейка двери защит"</f>
        <v>Наклейка двери защит</v>
      </c>
      <c r="C8058">
        <v>26</v>
      </c>
      <c r="D8058">
        <v>364.75199999999995</v>
      </c>
    </row>
    <row r="8059" spans="1:4">
      <c r="A8059" t="str">
        <f>"82812-JG010"</f>
        <v>82812-JG010</v>
      </c>
      <c r="B8059" t="str">
        <f>"Наклейка двери защит"</f>
        <v>Наклейка двери защит</v>
      </c>
      <c r="C8059">
        <v>13</v>
      </c>
      <c r="D8059">
        <v>354.14400000000001</v>
      </c>
    </row>
    <row r="8060" spans="1:4">
      <c r="A8060" t="str">
        <f>"82812-JK00B"</f>
        <v>82812-JK00B</v>
      </c>
      <c r="B8060" t="str">
        <f>"Наклейка двери"</f>
        <v>Наклейка двери</v>
      </c>
      <c r="C8060">
        <v>1</v>
      </c>
      <c r="D8060">
        <v>699.72</v>
      </c>
    </row>
    <row r="8061" spans="1:4">
      <c r="A8061" t="str">
        <f>"82812-JN20A"</f>
        <v>82812-JN20A</v>
      </c>
      <c r="B8061" t="str">
        <f>"Наклейка двери защит"</f>
        <v>Наклейка двери защит</v>
      </c>
      <c r="C8061">
        <v>0</v>
      </c>
      <c r="D8061">
        <v>462.26400000000001</v>
      </c>
    </row>
    <row r="8062" spans="1:4">
      <c r="A8062" t="str">
        <f>"82812-JN20B"</f>
        <v>82812-JN20B</v>
      </c>
      <c r="B8062" t="str">
        <f>"Наклейка двери защит"</f>
        <v>Наклейка двери защит</v>
      </c>
      <c r="C8062">
        <v>0</v>
      </c>
      <c r="D8062">
        <v>443.08800000000002</v>
      </c>
    </row>
    <row r="8063" spans="1:4">
      <c r="A8063" t="str">
        <f>"82813-0N800"</f>
        <v>82813-0N800</v>
      </c>
      <c r="B8063" t="str">
        <f>"TAPE-RR DOOR,LH"</f>
        <v>TAPE-RR DOOR,LH</v>
      </c>
      <c r="C8063">
        <v>1</v>
      </c>
      <c r="D8063">
        <v>253.36799999999997</v>
      </c>
    </row>
    <row r="8064" spans="1:4">
      <c r="A8064" t="str">
        <f>"82813-1YA1B"</f>
        <v>82813-1YA1B</v>
      </c>
      <c r="B8064" t="str">
        <f>"Наклейка двери защит"</f>
        <v>Наклейка двери защит</v>
      </c>
      <c r="C8064">
        <v>8</v>
      </c>
      <c r="D8064">
        <v>650.35199999999998</v>
      </c>
    </row>
    <row r="8065" spans="1:4">
      <c r="A8065" t="str">
        <f>"82813-2Y010"</f>
        <v>82813-2Y010</v>
      </c>
      <c r="B8065" t="str">
        <f>"TAPE-RR DOOR,LH"</f>
        <v>TAPE-RR DOOR,LH</v>
      </c>
      <c r="C8065">
        <v>3</v>
      </c>
      <c r="D8065">
        <v>540.19200000000001</v>
      </c>
    </row>
    <row r="8066" spans="1:4">
      <c r="A8066" t="str">
        <f>"82813-95F0A"</f>
        <v>82813-95F0A</v>
      </c>
      <c r="B8066" t="str">
        <f>"Наклейка двери защит"</f>
        <v>Наклейка двери защит</v>
      </c>
      <c r="C8066">
        <v>6</v>
      </c>
      <c r="D8066">
        <v>345.98399999999998</v>
      </c>
    </row>
    <row r="8067" spans="1:4">
      <c r="A8067" t="str">
        <f>"82813-AV600"</f>
        <v>82813-AV600</v>
      </c>
      <c r="B8067" t="str">
        <f>"SEAL-REAR DOOR"</f>
        <v>SEAL-REAR DOOR</v>
      </c>
      <c r="C8067">
        <v>10</v>
      </c>
      <c r="D8067">
        <v>561.81600000000003</v>
      </c>
    </row>
    <row r="8068" spans="1:4">
      <c r="A8068" t="str">
        <f>"82813-BM700"</f>
        <v>82813-BM700</v>
      </c>
      <c r="B8068" t="str">
        <f>"TAPE-REAR DOOR"</f>
        <v>TAPE-REAR DOOR</v>
      </c>
      <c r="C8068">
        <v>2</v>
      </c>
      <c r="D8068">
        <v>504.28800000000001</v>
      </c>
    </row>
    <row r="8069" spans="1:4">
      <c r="A8069" t="str">
        <f>"82813-EL000"</f>
        <v>82813-EL000</v>
      </c>
      <c r="B8069" t="str">
        <f>"Наклейка двери защит"</f>
        <v>Наклейка двери защит</v>
      </c>
      <c r="C8069">
        <v>0</v>
      </c>
      <c r="D8069">
        <v>191.352</v>
      </c>
    </row>
    <row r="8070" spans="1:4">
      <c r="A8070" t="str">
        <f>"82813-EL400"</f>
        <v>82813-EL400</v>
      </c>
      <c r="B8070" t="str">
        <f>"Наклейка двери защит"</f>
        <v>Наклейка двери защит</v>
      </c>
      <c r="C8070">
        <v>2</v>
      </c>
      <c r="D8070">
        <v>475.32</v>
      </c>
    </row>
    <row r="8071" spans="1:4">
      <c r="A8071" t="str">
        <f>"82813-EY10A"</f>
        <v>82813-EY10A</v>
      </c>
      <c r="B8071" t="str">
        <f>"НАКЛЕЙКА ДВЕРИ"</f>
        <v>НАКЛЕЙКА ДВЕРИ</v>
      </c>
      <c r="C8071">
        <v>0</v>
      </c>
      <c r="D8071">
        <v>663.81599999999992</v>
      </c>
    </row>
    <row r="8072" spans="1:4">
      <c r="A8072" t="str">
        <f>"82813-JD02B"</f>
        <v>82813-JD02B</v>
      </c>
      <c r="B8072" t="str">
        <f t="shared" ref="B8072:B8078" si="155">"Наклейка двери защит"</f>
        <v>Наклейка двери защит</v>
      </c>
      <c r="C8072">
        <v>0</v>
      </c>
      <c r="D8072">
        <v>352.92</v>
      </c>
    </row>
    <row r="8073" spans="1:4">
      <c r="A8073" t="str">
        <f>"82813-JG000"</f>
        <v>82813-JG000</v>
      </c>
      <c r="B8073" t="str">
        <f t="shared" si="155"/>
        <v>Наклейка двери защит</v>
      </c>
      <c r="C8073">
        <v>15</v>
      </c>
      <c r="D8073">
        <v>383.928</v>
      </c>
    </row>
    <row r="8074" spans="1:4">
      <c r="A8074" t="str">
        <f>"82813-JN20A"</f>
        <v>82813-JN20A</v>
      </c>
      <c r="B8074" t="str">
        <f t="shared" si="155"/>
        <v>Наклейка двери защит</v>
      </c>
      <c r="C8074">
        <v>17</v>
      </c>
      <c r="D8074">
        <v>574.87199999999996</v>
      </c>
    </row>
    <row r="8075" spans="1:4">
      <c r="A8075" t="str">
        <f>"82813-JN20B"</f>
        <v>82813-JN20B</v>
      </c>
      <c r="B8075" t="str">
        <f t="shared" si="155"/>
        <v>Наклейка двери защит</v>
      </c>
      <c r="C8075">
        <v>1</v>
      </c>
      <c r="D8075">
        <v>433.70400000000001</v>
      </c>
    </row>
    <row r="8076" spans="1:4">
      <c r="A8076" t="str">
        <f>"82814-JG01A"</f>
        <v>82814-JG01A</v>
      </c>
      <c r="B8076" t="str">
        <f t="shared" si="155"/>
        <v>Наклейка двери защит</v>
      </c>
      <c r="C8076">
        <v>7</v>
      </c>
      <c r="D8076">
        <v>305.18399999999997</v>
      </c>
    </row>
    <row r="8077" spans="1:4">
      <c r="A8077" t="str">
        <f>"82815-JG01A"</f>
        <v>82815-JG01A</v>
      </c>
      <c r="B8077" t="str">
        <f t="shared" si="155"/>
        <v>Наклейка двери защит</v>
      </c>
      <c r="C8077">
        <v>4</v>
      </c>
      <c r="D8077">
        <v>302.73599999999999</v>
      </c>
    </row>
    <row r="8078" spans="1:4">
      <c r="A8078" t="str">
        <f>"82816-9U00A"</f>
        <v>82816-9U00A</v>
      </c>
      <c r="B8078" t="str">
        <f t="shared" si="155"/>
        <v>Наклейка двери защит</v>
      </c>
      <c r="C8078">
        <v>15</v>
      </c>
      <c r="D8078">
        <v>379.84800000000001</v>
      </c>
    </row>
    <row r="8079" spans="1:4">
      <c r="A8079" t="str">
        <f>"82816-CG110"</f>
        <v>82816-CG110</v>
      </c>
      <c r="B8079" t="str">
        <f>"TAPE-RR DOOR,RH"</f>
        <v>TAPE-RR DOOR,RH</v>
      </c>
      <c r="C8079">
        <v>5</v>
      </c>
      <c r="D8079">
        <v>767.04000000000008</v>
      </c>
    </row>
    <row r="8080" spans="1:4">
      <c r="A8080" t="str">
        <f>"82816-EL000"</f>
        <v>82816-EL000</v>
      </c>
      <c r="B8080" t="str">
        <f t="shared" ref="B8080:B8086" si="156">"Наклейка двери защит"</f>
        <v>Наклейка двери защит</v>
      </c>
      <c r="C8080">
        <v>9</v>
      </c>
      <c r="D8080">
        <v>272.54399999999998</v>
      </c>
    </row>
    <row r="8081" spans="1:4">
      <c r="A8081" t="str">
        <f>"82816-JG000"</f>
        <v>82816-JG000</v>
      </c>
      <c r="B8081" t="str">
        <f t="shared" si="156"/>
        <v>Наклейка двери защит</v>
      </c>
      <c r="C8081">
        <v>13</v>
      </c>
      <c r="D8081">
        <v>350.06400000000002</v>
      </c>
    </row>
    <row r="8082" spans="1:4">
      <c r="A8082" t="str">
        <f>"82816-JG010"</f>
        <v>82816-JG010</v>
      </c>
      <c r="B8082" t="str">
        <f t="shared" si="156"/>
        <v>Наклейка двери защит</v>
      </c>
      <c r="C8082">
        <v>0</v>
      </c>
      <c r="D8082">
        <v>377.4</v>
      </c>
    </row>
    <row r="8083" spans="1:4">
      <c r="A8083" t="str">
        <f>"82816-JN20A"</f>
        <v>82816-JN20A</v>
      </c>
      <c r="B8083" t="str">
        <f t="shared" si="156"/>
        <v>Наклейка двери защит</v>
      </c>
      <c r="C8083">
        <v>0</v>
      </c>
      <c r="D8083">
        <v>732.76799999999992</v>
      </c>
    </row>
    <row r="8084" spans="1:4">
      <c r="A8084" t="str">
        <f>"82816-JN20B"</f>
        <v>82816-JN20B</v>
      </c>
      <c r="B8084" t="str">
        <f t="shared" si="156"/>
        <v>Наклейка двери защит</v>
      </c>
      <c r="C8084">
        <v>11</v>
      </c>
      <c r="D8084">
        <v>731.54399999999998</v>
      </c>
    </row>
    <row r="8085" spans="1:4">
      <c r="A8085" t="str">
        <f>"82817-9U00A"</f>
        <v>82817-9U00A</v>
      </c>
      <c r="B8085" t="str">
        <f t="shared" si="156"/>
        <v>Наклейка двери защит</v>
      </c>
      <c r="C8085">
        <v>22</v>
      </c>
      <c r="D8085">
        <v>648.72</v>
      </c>
    </row>
    <row r="8086" spans="1:4">
      <c r="A8086" t="str">
        <f>"82817-BG01A"</f>
        <v>82817-BG01A</v>
      </c>
      <c r="B8086" t="str">
        <f t="shared" si="156"/>
        <v>Наклейка двери защит</v>
      </c>
      <c r="C8086">
        <v>4</v>
      </c>
      <c r="D8086">
        <v>697.27199999999993</v>
      </c>
    </row>
    <row r="8087" spans="1:4">
      <c r="A8087" t="str">
        <f>"82817-CG110"</f>
        <v>82817-CG110</v>
      </c>
      <c r="B8087" t="str">
        <f>"TAPE-RR DOOR,LH"</f>
        <v>TAPE-RR DOOR,LH</v>
      </c>
      <c r="C8087">
        <v>1</v>
      </c>
      <c r="D8087">
        <v>811.10399999999993</v>
      </c>
    </row>
    <row r="8088" spans="1:4">
      <c r="A8088" t="str">
        <f>"82817-EL000"</f>
        <v>82817-EL000</v>
      </c>
      <c r="B8088" t="str">
        <f>"Наклейка двери защит"</f>
        <v>Наклейка двери защит</v>
      </c>
      <c r="C8088">
        <v>8</v>
      </c>
      <c r="D8088">
        <v>272.13599999999997</v>
      </c>
    </row>
    <row r="8089" spans="1:4">
      <c r="A8089" t="str">
        <f>"82817-JG000"</f>
        <v>82817-JG000</v>
      </c>
      <c r="B8089" t="str">
        <f>"Наклейка двери защит"</f>
        <v>Наклейка двери защит</v>
      </c>
      <c r="C8089">
        <v>18</v>
      </c>
      <c r="D8089">
        <v>363.93599999999998</v>
      </c>
    </row>
    <row r="8090" spans="1:4">
      <c r="A8090" t="str">
        <f>"82817-JG010"</f>
        <v>82817-JG010</v>
      </c>
      <c r="B8090" t="str">
        <f>"Наклейка двери защит"</f>
        <v>Наклейка двери защит</v>
      </c>
      <c r="C8090">
        <v>4</v>
      </c>
      <c r="D8090">
        <v>377.4</v>
      </c>
    </row>
    <row r="8091" spans="1:4">
      <c r="A8091" t="str">
        <f>"82817-JN20A"</f>
        <v>82817-JN20A</v>
      </c>
      <c r="B8091" t="str">
        <f>"Наклейка двери защит"</f>
        <v>Наклейка двери защит</v>
      </c>
      <c r="C8091">
        <v>3</v>
      </c>
      <c r="D8091">
        <v>704.20799999999997</v>
      </c>
    </row>
    <row r="8092" spans="1:4">
      <c r="A8092" t="str">
        <f>"82817-JN20B"</f>
        <v>82817-JN20B</v>
      </c>
      <c r="B8092" t="str">
        <f>"Наклейка двери защит"</f>
        <v>Наклейка двери защит</v>
      </c>
      <c r="C8092">
        <v>3</v>
      </c>
      <c r="D8092">
        <v>737.25599999999997</v>
      </c>
    </row>
    <row r="8093" spans="1:4">
      <c r="A8093" t="str">
        <f>"82818-1AA0C"</f>
        <v>82818-1AA0C</v>
      </c>
      <c r="B8093" t="str">
        <f>"TAPE-REAR DOOR"</f>
        <v>TAPE-REAR DOOR</v>
      </c>
      <c r="C8093">
        <v>0</v>
      </c>
      <c r="D8093">
        <v>615.26400000000001</v>
      </c>
    </row>
    <row r="8094" spans="1:4">
      <c r="A8094" t="str">
        <f>"82818-9U00A"</f>
        <v>82818-9U00A</v>
      </c>
      <c r="B8094" t="str">
        <f>"Наклейка двери защит"</f>
        <v>Наклейка двери защит</v>
      </c>
      <c r="C8094">
        <v>11</v>
      </c>
      <c r="D8094">
        <v>928.60799999999995</v>
      </c>
    </row>
    <row r="8095" spans="1:4">
      <c r="A8095" t="str">
        <f>"82818-9U01A"</f>
        <v>82818-9U01A</v>
      </c>
      <c r="B8095" t="str">
        <f>"Наклейка двери защит"</f>
        <v>Наклейка двери защит</v>
      </c>
      <c r="C8095">
        <v>0</v>
      </c>
      <c r="D8095">
        <v>328.44</v>
      </c>
    </row>
    <row r="8096" spans="1:4">
      <c r="A8096" t="str">
        <f>"82818-CG110"</f>
        <v>82818-CG110</v>
      </c>
      <c r="B8096" t="str">
        <f>"TAPE-RR DOOR,RH"</f>
        <v>TAPE-RR DOOR,RH</v>
      </c>
      <c r="C8096">
        <v>5</v>
      </c>
      <c r="D8096">
        <v>694.41599999999994</v>
      </c>
    </row>
    <row r="8097" spans="1:4">
      <c r="A8097" t="str">
        <f>"82818-EB300"</f>
        <v>82818-EB300</v>
      </c>
      <c r="B8097" t="str">
        <f t="shared" ref="B8097:B8103" si="157">"Наклейка двери защит"</f>
        <v>Наклейка двери защит</v>
      </c>
      <c r="C8097">
        <v>5</v>
      </c>
      <c r="D8097">
        <v>747.86400000000003</v>
      </c>
    </row>
    <row r="8098" spans="1:4">
      <c r="A8098" t="str">
        <f>"82818-EL000"</f>
        <v>82818-EL000</v>
      </c>
      <c r="B8098" t="str">
        <f t="shared" si="157"/>
        <v>Наклейка двери защит</v>
      </c>
      <c r="C8098">
        <v>13</v>
      </c>
      <c r="D8098">
        <v>272.54399999999998</v>
      </c>
    </row>
    <row r="8099" spans="1:4">
      <c r="A8099" t="str">
        <f>"82818-EL400"</f>
        <v>82818-EL400</v>
      </c>
      <c r="B8099" t="str">
        <f t="shared" si="157"/>
        <v>Наклейка двери защит</v>
      </c>
      <c r="C8099">
        <v>0</v>
      </c>
      <c r="D8099">
        <v>352.92</v>
      </c>
    </row>
    <row r="8100" spans="1:4">
      <c r="A8100" t="str">
        <f>"82818-JG000"</f>
        <v>82818-JG000</v>
      </c>
      <c r="B8100" t="str">
        <f t="shared" si="157"/>
        <v>Наклейка двери защит</v>
      </c>
      <c r="C8100">
        <v>25</v>
      </c>
      <c r="D8100">
        <v>310.08</v>
      </c>
    </row>
    <row r="8101" spans="1:4">
      <c r="A8101" t="str">
        <f>"82818-JG010"</f>
        <v>82818-JG010</v>
      </c>
      <c r="B8101" t="str">
        <f t="shared" si="157"/>
        <v>Наклейка двери защит</v>
      </c>
      <c r="C8101">
        <v>6</v>
      </c>
      <c r="D8101">
        <v>317.83199999999999</v>
      </c>
    </row>
    <row r="8102" spans="1:4">
      <c r="A8102" t="str">
        <f>"82818-JN20A"</f>
        <v>82818-JN20A</v>
      </c>
      <c r="B8102" t="str">
        <f t="shared" si="157"/>
        <v>Наклейка двери защит</v>
      </c>
      <c r="C8102">
        <v>5</v>
      </c>
      <c r="D8102">
        <v>738.4799999999999</v>
      </c>
    </row>
    <row r="8103" spans="1:4">
      <c r="A8103" t="str">
        <f>"82819-9U00A"</f>
        <v>82819-9U00A</v>
      </c>
      <c r="B8103" t="str">
        <f t="shared" si="157"/>
        <v>Наклейка двери защит</v>
      </c>
      <c r="C8103">
        <v>11</v>
      </c>
      <c r="D8103">
        <v>960.02399999999989</v>
      </c>
    </row>
    <row r="8104" spans="1:4">
      <c r="A8104" t="str">
        <f>"82819-CG110"</f>
        <v>82819-CG110</v>
      </c>
      <c r="B8104" t="str">
        <f>"TAPE-RR DOOR,LH"</f>
        <v>TAPE-RR DOOR,LH</v>
      </c>
      <c r="C8104">
        <v>2</v>
      </c>
      <c r="D8104">
        <v>694.41599999999994</v>
      </c>
    </row>
    <row r="8105" spans="1:4">
      <c r="A8105" t="str">
        <f>"82819-EL000"</f>
        <v>82819-EL000</v>
      </c>
      <c r="B8105" t="str">
        <f>"Наклейка двери защит"</f>
        <v>Наклейка двери защит</v>
      </c>
      <c r="C8105">
        <v>9</v>
      </c>
      <c r="D8105">
        <v>272.54399999999998</v>
      </c>
    </row>
    <row r="8106" spans="1:4">
      <c r="A8106" t="str">
        <f>"82819-EL400"</f>
        <v>82819-EL400</v>
      </c>
      <c r="B8106" t="str">
        <f>"Наклейка двери защит"</f>
        <v>Наклейка двери защит</v>
      </c>
      <c r="C8106">
        <v>0</v>
      </c>
      <c r="D8106">
        <v>353.32799999999997</v>
      </c>
    </row>
    <row r="8107" spans="1:4">
      <c r="A8107" t="str">
        <f>"82819-JG000"</f>
        <v>82819-JG000</v>
      </c>
      <c r="B8107" t="str">
        <f>"Наклейка двери защит"</f>
        <v>Наклейка двери защит</v>
      </c>
      <c r="C8107">
        <v>9</v>
      </c>
      <c r="D8107">
        <v>303.14400000000001</v>
      </c>
    </row>
    <row r="8108" spans="1:4">
      <c r="A8108" t="str">
        <f>"82819-JN20A"</f>
        <v>82819-JN20A</v>
      </c>
      <c r="B8108" t="str">
        <f>"Наклейка двери защит"</f>
        <v>Наклейка двери защит</v>
      </c>
      <c r="C8108">
        <v>8</v>
      </c>
      <c r="D8108">
        <v>738.4799999999999</v>
      </c>
    </row>
    <row r="8109" spans="1:4">
      <c r="A8109" t="str">
        <f>"82819-JN20B"</f>
        <v>82819-JN20B</v>
      </c>
      <c r="B8109" t="str">
        <f>"Наклейка двери защит"</f>
        <v>Наклейка двери защит</v>
      </c>
      <c r="C8109">
        <v>1</v>
      </c>
      <c r="D8109">
        <v>715.63199999999995</v>
      </c>
    </row>
    <row r="8110" spans="1:4">
      <c r="A8110" t="str">
        <f>"82820-1CA0A"</f>
        <v>82820-1CA0A</v>
      </c>
      <c r="B8110" t="str">
        <f>"Молдинг задней двери"</f>
        <v>Молдинг задней двери</v>
      </c>
      <c r="C8110">
        <v>2</v>
      </c>
      <c r="D8110">
        <v>4463.5199999999995</v>
      </c>
    </row>
    <row r="8111" spans="1:4">
      <c r="A8111" t="str">
        <f>"82820-8H300"</f>
        <v>82820-8H300</v>
      </c>
      <c r="B8111" t="str">
        <f>"MLDG RR DOOR"</f>
        <v>MLDG RR DOOR</v>
      </c>
      <c r="C8111">
        <v>0</v>
      </c>
      <c r="D8111">
        <v>1343.952</v>
      </c>
    </row>
    <row r="8112" spans="1:4">
      <c r="A8112" t="str">
        <f>"82820-95F0A"</f>
        <v>82820-95F0A</v>
      </c>
      <c r="B8112" t="str">
        <f>"Молдинг задней двери"</f>
        <v>Молдинг задней двери</v>
      </c>
      <c r="C8112">
        <v>2</v>
      </c>
      <c r="D8112">
        <v>2770.7280000000001</v>
      </c>
    </row>
    <row r="8113" spans="1:4">
      <c r="A8113" t="str">
        <f>"82820-9Y000"</f>
        <v>82820-9Y000</v>
      </c>
      <c r="B8113" t="str">
        <f>"Молдинг задней двери"</f>
        <v>Молдинг задней двери</v>
      </c>
      <c r="C8113">
        <v>2</v>
      </c>
      <c r="D8113">
        <v>1926.9839999999999</v>
      </c>
    </row>
    <row r="8114" spans="1:4">
      <c r="A8114" t="str">
        <f>"82820-AV600"</f>
        <v>82820-AV600</v>
      </c>
      <c r="B8114" t="str">
        <f>"MOULDING-REAR D"</f>
        <v>MOULDING-REAR D</v>
      </c>
      <c r="C8114">
        <v>1</v>
      </c>
      <c r="D8114">
        <v>1647.5040000000001</v>
      </c>
    </row>
    <row r="8115" spans="1:4">
      <c r="A8115" t="str">
        <f>"82820-CL70A"</f>
        <v>82820-CL70A</v>
      </c>
      <c r="B8115" t="str">
        <f t="shared" ref="B8115:B8129" si="158">"Молдинг задней двери"</f>
        <v>Молдинг задней двери</v>
      </c>
      <c r="C8115">
        <v>3</v>
      </c>
      <c r="D8115">
        <v>2787.8639999999996</v>
      </c>
    </row>
    <row r="8116" spans="1:4">
      <c r="A8116" t="str">
        <f>"82820-EE000"</f>
        <v>82820-EE000</v>
      </c>
      <c r="B8116" t="str">
        <f t="shared" si="158"/>
        <v>Молдинг задней двери</v>
      </c>
      <c r="C8116">
        <v>2</v>
      </c>
      <c r="D8116">
        <v>1791.12</v>
      </c>
    </row>
    <row r="8117" spans="1:4">
      <c r="A8117" t="str">
        <f>"82820-EE410"</f>
        <v>82820-EE410</v>
      </c>
      <c r="B8117" t="str">
        <f t="shared" si="158"/>
        <v>Молдинг задней двери</v>
      </c>
      <c r="C8117">
        <v>4</v>
      </c>
      <c r="D8117">
        <v>1503.8879999999999</v>
      </c>
    </row>
    <row r="8118" spans="1:4">
      <c r="A8118" t="str">
        <f>"82820-JD00A"</f>
        <v>82820-JD00A</v>
      </c>
      <c r="B8118" t="str">
        <f t="shared" si="158"/>
        <v>Молдинг задней двери</v>
      </c>
      <c r="C8118">
        <v>0</v>
      </c>
      <c r="D8118">
        <v>1437.7920000000001</v>
      </c>
    </row>
    <row r="8119" spans="1:4">
      <c r="A8119" t="str">
        <f>"82820-JG000"</f>
        <v>82820-JG000</v>
      </c>
      <c r="B8119" t="str">
        <f t="shared" si="158"/>
        <v>Молдинг задней двери</v>
      </c>
      <c r="C8119">
        <v>4</v>
      </c>
      <c r="D8119">
        <v>1809.0719999999999</v>
      </c>
    </row>
    <row r="8120" spans="1:4">
      <c r="A8120" t="str">
        <f>"82820-JN00A"</f>
        <v>82820-JN00A</v>
      </c>
      <c r="B8120" t="str">
        <f t="shared" si="158"/>
        <v>Молдинг задней двери</v>
      </c>
      <c r="C8120">
        <v>3</v>
      </c>
      <c r="D8120">
        <v>1785.816</v>
      </c>
    </row>
    <row r="8121" spans="1:4">
      <c r="A8121" t="str">
        <f>"82821-1CA0A"</f>
        <v>82821-1CA0A</v>
      </c>
      <c r="B8121" t="str">
        <f t="shared" si="158"/>
        <v>Молдинг задней двери</v>
      </c>
      <c r="C8121">
        <v>0</v>
      </c>
      <c r="D8121">
        <v>4755.6480000000001</v>
      </c>
    </row>
    <row r="8122" spans="1:4">
      <c r="A8122" t="str">
        <f>"82821-95F0A"</f>
        <v>82821-95F0A</v>
      </c>
      <c r="B8122" t="str">
        <f t="shared" si="158"/>
        <v>Молдинг задней двери</v>
      </c>
      <c r="C8122">
        <v>3</v>
      </c>
      <c r="D8122">
        <v>2796.8399999999997</v>
      </c>
    </row>
    <row r="8123" spans="1:4">
      <c r="A8123" t="str">
        <f>"82821-9Y000"</f>
        <v>82821-9Y000</v>
      </c>
      <c r="B8123" t="str">
        <f t="shared" si="158"/>
        <v>Молдинг задней двери</v>
      </c>
      <c r="C8123">
        <v>5</v>
      </c>
      <c r="D8123">
        <v>1929.0239999999999</v>
      </c>
    </row>
    <row r="8124" spans="1:4">
      <c r="A8124" t="str">
        <f>"82821-CL70A"</f>
        <v>82821-CL70A</v>
      </c>
      <c r="B8124" t="str">
        <f t="shared" si="158"/>
        <v>Молдинг задней двери</v>
      </c>
      <c r="C8124">
        <v>1</v>
      </c>
      <c r="D8124">
        <v>2787.8639999999996</v>
      </c>
    </row>
    <row r="8125" spans="1:4">
      <c r="A8125" t="str">
        <f>"82821-EE000"</f>
        <v>82821-EE000</v>
      </c>
      <c r="B8125" t="str">
        <f t="shared" si="158"/>
        <v>Молдинг задней двери</v>
      </c>
      <c r="C8125">
        <v>0</v>
      </c>
      <c r="D8125">
        <v>1791.12</v>
      </c>
    </row>
    <row r="8126" spans="1:4">
      <c r="A8126" t="str">
        <f>"82821-EE410"</f>
        <v>82821-EE410</v>
      </c>
      <c r="B8126" t="str">
        <f t="shared" si="158"/>
        <v>Молдинг задней двери</v>
      </c>
      <c r="C8126">
        <v>1</v>
      </c>
      <c r="D8126">
        <v>1357.4159999999999</v>
      </c>
    </row>
    <row r="8127" spans="1:4">
      <c r="A8127" t="str">
        <f>"82821-JD00A"</f>
        <v>82821-JD00A</v>
      </c>
      <c r="B8127" t="str">
        <f t="shared" si="158"/>
        <v>Молдинг задней двери</v>
      </c>
      <c r="C8127">
        <v>0</v>
      </c>
      <c r="D8127">
        <v>1437.7920000000001</v>
      </c>
    </row>
    <row r="8128" spans="1:4">
      <c r="A8128" t="str">
        <f>"82821-JG000"</f>
        <v>82821-JG000</v>
      </c>
      <c r="B8128" t="str">
        <f t="shared" si="158"/>
        <v>Молдинг задней двери</v>
      </c>
      <c r="C8128">
        <v>1</v>
      </c>
      <c r="D8128">
        <v>1535.712</v>
      </c>
    </row>
    <row r="8129" spans="1:4">
      <c r="A8129" t="str">
        <f>"82821-JN00A"</f>
        <v>82821-JN00A</v>
      </c>
      <c r="B8129" t="str">
        <f t="shared" si="158"/>
        <v>Молдинг задней двери</v>
      </c>
      <c r="C8129">
        <v>2</v>
      </c>
      <c r="D8129">
        <v>1795.2</v>
      </c>
    </row>
    <row r="8130" spans="1:4">
      <c r="A8130" t="str">
        <f>"82838-1CA0A"</f>
        <v>82838-1CA0A</v>
      </c>
      <c r="B8130" t="str">
        <f>"Уплотнитель двер"</f>
        <v>Уплотнитель двер</v>
      </c>
      <c r="C8130">
        <v>1</v>
      </c>
      <c r="D8130">
        <v>652.79999999999995</v>
      </c>
    </row>
    <row r="8131" spans="1:4">
      <c r="A8131" t="str">
        <f>"82838-CG000"</f>
        <v>82838-CG000</v>
      </c>
      <c r="B8131" t="str">
        <f>"Уплотнитель двер"</f>
        <v>Уплотнитель двер</v>
      </c>
      <c r="C8131">
        <v>1</v>
      </c>
      <c r="D8131">
        <v>1556.1119999999999</v>
      </c>
    </row>
    <row r="8132" spans="1:4">
      <c r="A8132" t="str">
        <f>"82838-JG000"</f>
        <v>82838-JG000</v>
      </c>
      <c r="B8132" t="str">
        <f>"Уплотнитель двер"</f>
        <v>Уплотнитель двер</v>
      </c>
      <c r="C8132">
        <v>4</v>
      </c>
      <c r="D8132">
        <v>1391.6879999999999</v>
      </c>
    </row>
    <row r="8133" spans="1:4">
      <c r="A8133" t="str">
        <f>"82839-JG000"</f>
        <v>82839-JG000</v>
      </c>
      <c r="B8133" t="str">
        <f>"Уплотнитель двер"</f>
        <v>Уплотнитель двер</v>
      </c>
      <c r="C8133">
        <v>0</v>
      </c>
      <c r="D8133">
        <v>1355.7839999999999</v>
      </c>
    </row>
    <row r="8134" spans="1:4">
      <c r="A8134" t="str">
        <f>"82851-JG00A"</f>
        <v>82851-JG00A</v>
      </c>
      <c r="B8134" t="str">
        <f>"Пистон"</f>
        <v>Пистон</v>
      </c>
      <c r="C8134">
        <v>8</v>
      </c>
      <c r="D8134">
        <v>53.448</v>
      </c>
    </row>
    <row r="8135" spans="1:4">
      <c r="A8135" t="str">
        <f>"82851-JG00B"</f>
        <v>82851-JG00B</v>
      </c>
      <c r="B8135" t="str">
        <f>"Пистон уплотнителя д"</f>
        <v>Пистон уплотнителя д</v>
      </c>
      <c r="C8135">
        <v>6</v>
      </c>
      <c r="D8135">
        <v>42.024000000000001</v>
      </c>
    </row>
    <row r="8136" spans="1:4">
      <c r="A8136" t="str">
        <f>"82870-1AA3A"</f>
        <v>82870-1AA3A</v>
      </c>
      <c r="B8136" t="str">
        <f>"Молдинг двери"</f>
        <v>Молдинг двери</v>
      </c>
      <c r="C8136">
        <v>3</v>
      </c>
      <c r="D8136">
        <v>1795.6079999999999</v>
      </c>
    </row>
    <row r="8137" spans="1:4">
      <c r="A8137" t="str">
        <f>"82870-1BF0C"</f>
        <v>82870-1BF0C</v>
      </c>
      <c r="B8137" t="str">
        <f>"Молдинг задней двери"</f>
        <v>Молдинг задней двери</v>
      </c>
      <c r="C8137">
        <v>0</v>
      </c>
      <c r="D8137">
        <v>2134.248</v>
      </c>
    </row>
    <row r="8138" spans="1:4">
      <c r="A8138" t="str">
        <f>"82870-1CJ1A"</f>
        <v>82870-1CJ1A</v>
      </c>
      <c r="B8138" t="str">
        <f>"Молдинг задней двери"</f>
        <v>Молдинг задней двери</v>
      </c>
      <c r="C8138">
        <v>2</v>
      </c>
      <c r="D8138">
        <v>2573.2559999999999</v>
      </c>
    </row>
    <row r="8139" spans="1:4">
      <c r="A8139" t="str">
        <f>"82870-7S680"</f>
        <v>82870-7S680</v>
      </c>
      <c r="B8139" t="str">
        <f>"Молдинг задней двери"</f>
        <v>Молдинг задней двери</v>
      </c>
      <c r="C8139">
        <v>1</v>
      </c>
      <c r="D8139">
        <v>7396.6319999999996</v>
      </c>
    </row>
    <row r="8140" spans="1:4">
      <c r="A8140" t="str">
        <f>"82870-85Y03"</f>
        <v>82870-85Y03</v>
      </c>
      <c r="B8140" t="str">
        <f>"Молдинг задней двери"</f>
        <v>Молдинг задней двери</v>
      </c>
      <c r="C8140">
        <v>1</v>
      </c>
      <c r="D8140">
        <v>1585.896</v>
      </c>
    </row>
    <row r="8141" spans="1:4">
      <c r="A8141" t="str">
        <f>"82870-8H303"</f>
        <v>82870-8H303</v>
      </c>
      <c r="B8141" t="str">
        <f>"MOULDING"</f>
        <v>MOULDING</v>
      </c>
      <c r="C8141">
        <v>0</v>
      </c>
      <c r="D8141">
        <v>1322.7359999999999</v>
      </c>
    </row>
    <row r="8142" spans="1:4">
      <c r="A8142" t="str">
        <f>"82870-8H310"</f>
        <v>82870-8H310</v>
      </c>
      <c r="B8142" t="str">
        <f>"MOULDING-REAR D"</f>
        <v>MOULDING-REAR D</v>
      </c>
      <c r="C8142">
        <v>2</v>
      </c>
      <c r="D8142">
        <v>1410.864</v>
      </c>
    </row>
    <row r="8143" spans="1:4">
      <c r="A8143" t="str">
        <f>"82870-9U000"</f>
        <v>82870-9U000</v>
      </c>
      <c r="B8143" t="str">
        <f>"Молдинг задней двери"</f>
        <v>Молдинг задней двери</v>
      </c>
      <c r="C8143">
        <v>0</v>
      </c>
      <c r="D8143">
        <v>1464.3119999999999</v>
      </c>
    </row>
    <row r="8144" spans="1:4">
      <c r="A8144" t="str">
        <f>"82870-AY200"</f>
        <v>82870-AY200</v>
      </c>
      <c r="B8144" t="str">
        <f>"Молдинг задней двери"</f>
        <v>Молдинг задней двери</v>
      </c>
      <c r="C8144">
        <v>2</v>
      </c>
      <c r="D8144">
        <v>1230.9359999999999</v>
      </c>
    </row>
    <row r="8145" spans="1:4">
      <c r="A8145" t="str">
        <f>"82870-BR01A"</f>
        <v>82870-BR01A</v>
      </c>
      <c r="B8145" t="str">
        <f>"Молдинг задней двери"</f>
        <v>Молдинг задней двери</v>
      </c>
      <c r="C8145">
        <v>4</v>
      </c>
      <c r="D8145">
        <v>1663.0079999999998</v>
      </c>
    </row>
    <row r="8146" spans="1:4">
      <c r="A8146" t="str">
        <f>"82870-BR11A"</f>
        <v>82870-BR11A</v>
      </c>
      <c r="B8146" t="str">
        <f>"Молдинг задней двери"</f>
        <v>Молдинг задней двери</v>
      </c>
      <c r="C8146">
        <v>0</v>
      </c>
      <c r="D8146">
        <v>2022.4560000000001</v>
      </c>
    </row>
    <row r="8147" spans="1:4">
      <c r="A8147" t="str">
        <f>"82870-CA000"</f>
        <v>82870-CA000</v>
      </c>
      <c r="B8147" t="str">
        <f>"MOULDING RR DOO"</f>
        <v>MOULDING RR DOO</v>
      </c>
      <c r="C8147">
        <v>4</v>
      </c>
      <c r="D8147">
        <v>1687.896</v>
      </c>
    </row>
    <row r="8148" spans="1:4">
      <c r="A8148" t="str">
        <f>"82870-CG000"</f>
        <v>82870-CG000</v>
      </c>
      <c r="B8148" t="str">
        <f>"MOULDING"</f>
        <v>MOULDING</v>
      </c>
      <c r="C8148">
        <v>0</v>
      </c>
      <c r="D8148">
        <v>1473.6959999999999</v>
      </c>
    </row>
    <row r="8149" spans="1:4">
      <c r="A8149" t="str">
        <f>"82870-CM80A"</f>
        <v>82870-CM80A</v>
      </c>
      <c r="B8149" t="str">
        <f t="shared" ref="B8149:B8155" si="159">"Молдинг задней двери"</f>
        <v>Молдинг задней двери</v>
      </c>
      <c r="C8149">
        <v>7</v>
      </c>
      <c r="D8149">
        <v>2019.6</v>
      </c>
    </row>
    <row r="8150" spans="1:4">
      <c r="A8150" t="str">
        <f>"82870-JN00B"</f>
        <v>82870-JN00B</v>
      </c>
      <c r="B8150" t="str">
        <f t="shared" si="159"/>
        <v>Молдинг задней двери</v>
      </c>
      <c r="C8150">
        <v>13</v>
      </c>
      <c r="D8150">
        <v>1646.28</v>
      </c>
    </row>
    <row r="8151" spans="1:4">
      <c r="A8151" t="str">
        <f>"82870-JN91A"</f>
        <v>82870-JN91A</v>
      </c>
      <c r="B8151" t="str">
        <f t="shared" si="159"/>
        <v>Молдинг задней двери</v>
      </c>
      <c r="C8151">
        <v>0</v>
      </c>
      <c r="D8151">
        <v>2170.9679999999998</v>
      </c>
    </row>
    <row r="8152" spans="1:4">
      <c r="A8152" t="str">
        <f>"82871-1AA3A"</f>
        <v>82871-1AA3A</v>
      </c>
      <c r="B8152" t="str">
        <f t="shared" si="159"/>
        <v>Молдинг задней двери</v>
      </c>
      <c r="C8152">
        <v>1</v>
      </c>
      <c r="D8152">
        <v>1691.1599999999999</v>
      </c>
    </row>
    <row r="8153" spans="1:4">
      <c r="A8153" t="str">
        <f>"82871-1BF0C"</f>
        <v>82871-1BF0C</v>
      </c>
      <c r="B8153" t="str">
        <f t="shared" si="159"/>
        <v>Молдинг задней двери</v>
      </c>
      <c r="C8153">
        <v>0</v>
      </c>
      <c r="D8153">
        <v>2115.0719999999997</v>
      </c>
    </row>
    <row r="8154" spans="1:4">
      <c r="A8154" t="str">
        <f>"82871-1CJ1A"</f>
        <v>82871-1CJ1A</v>
      </c>
      <c r="B8154" t="str">
        <f t="shared" si="159"/>
        <v>Молдинг задней двери</v>
      </c>
      <c r="C8154">
        <v>5</v>
      </c>
      <c r="D8154">
        <v>2844.1679999999997</v>
      </c>
    </row>
    <row r="8155" spans="1:4">
      <c r="A8155" t="str">
        <f>"82871-7S680"</f>
        <v>82871-7S680</v>
      </c>
      <c r="B8155" t="str">
        <f t="shared" si="159"/>
        <v>Молдинг задней двери</v>
      </c>
      <c r="C8155">
        <v>1</v>
      </c>
      <c r="D8155">
        <v>8033.52</v>
      </c>
    </row>
    <row r="8156" spans="1:4">
      <c r="A8156" t="str">
        <f>"82871-8H300"</f>
        <v>82871-8H300</v>
      </c>
      <c r="B8156" t="str">
        <f>"MOULDING"</f>
        <v>MOULDING</v>
      </c>
      <c r="C8156">
        <v>5</v>
      </c>
      <c r="D8156">
        <v>1200.336</v>
      </c>
    </row>
    <row r="8157" spans="1:4">
      <c r="A8157" t="str">
        <f>"82871-9U000"</f>
        <v>82871-9U000</v>
      </c>
      <c r="B8157" t="str">
        <f>"Молдинг задней двери"</f>
        <v>Молдинг задней двери</v>
      </c>
      <c r="C8157">
        <v>0</v>
      </c>
      <c r="D8157">
        <v>1492.4639999999999</v>
      </c>
    </row>
    <row r="8158" spans="1:4">
      <c r="A8158" t="str">
        <f>"82871-AY200"</f>
        <v>82871-AY200</v>
      </c>
      <c r="B8158" t="str">
        <f>"Молдинг задней двери"</f>
        <v>Молдинг задней двери</v>
      </c>
      <c r="C8158">
        <v>2</v>
      </c>
      <c r="D8158">
        <v>1247.664</v>
      </c>
    </row>
    <row r="8159" spans="1:4">
      <c r="A8159" t="str">
        <f>"82871-BM700"</f>
        <v>82871-BM700</v>
      </c>
      <c r="B8159" t="str">
        <f>"MOULDING-REAR D"</f>
        <v>MOULDING-REAR D</v>
      </c>
      <c r="C8159">
        <v>2</v>
      </c>
      <c r="D8159">
        <v>2055.096</v>
      </c>
    </row>
    <row r="8160" spans="1:4">
      <c r="A8160" t="str">
        <f>"82871-BR01A"</f>
        <v>82871-BR01A</v>
      </c>
      <c r="B8160" t="str">
        <f>"Молдинг задней двери"</f>
        <v>Молдинг задней двери</v>
      </c>
      <c r="C8160">
        <v>0</v>
      </c>
      <c r="D8160">
        <v>1530.816</v>
      </c>
    </row>
    <row r="8161" spans="1:4">
      <c r="A8161" t="str">
        <f>"82871-BR11A"</f>
        <v>82871-BR11A</v>
      </c>
      <c r="B8161" t="str">
        <f>"Молдинг задней двери"</f>
        <v>Молдинг задней двери</v>
      </c>
      <c r="C8161">
        <v>2</v>
      </c>
      <c r="D8161">
        <v>2082.84</v>
      </c>
    </row>
    <row r="8162" spans="1:4">
      <c r="A8162" t="str">
        <f>"82871-CA000"</f>
        <v>82871-CA000</v>
      </c>
      <c r="B8162" t="str">
        <f>"MOULDING"</f>
        <v>MOULDING</v>
      </c>
      <c r="C8162">
        <v>2</v>
      </c>
      <c r="D8162">
        <v>1729.104</v>
      </c>
    </row>
    <row r="8163" spans="1:4">
      <c r="A8163" t="str">
        <f>"82871-CG000"</f>
        <v>82871-CG000</v>
      </c>
      <c r="B8163" t="str">
        <f>"MOULDING"</f>
        <v>MOULDING</v>
      </c>
      <c r="C8163">
        <v>0</v>
      </c>
      <c r="D8163">
        <v>1892.712</v>
      </c>
    </row>
    <row r="8164" spans="1:4">
      <c r="A8164" t="str">
        <f>"82871-CM80A"</f>
        <v>82871-CM80A</v>
      </c>
      <c r="B8164" t="str">
        <f t="shared" ref="B8164:B8179" si="160">"Молдинг задней двери"</f>
        <v>Молдинг задней двери</v>
      </c>
      <c r="C8164">
        <v>3</v>
      </c>
      <c r="D8164">
        <v>2040.4079999999999</v>
      </c>
    </row>
    <row r="8165" spans="1:4">
      <c r="A8165" t="str">
        <f>"82871-JN00B"</f>
        <v>82871-JN00B</v>
      </c>
      <c r="B8165" t="str">
        <f t="shared" si="160"/>
        <v>Молдинг задней двери</v>
      </c>
      <c r="C8165">
        <v>24</v>
      </c>
      <c r="D8165">
        <v>1629.1439999999998</v>
      </c>
    </row>
    <row r="8166" spans="1:4">
      <c r="A8166" t="str">
        <f>"82871-JN91A"</f>
        <v>82871-JN91A</v>
      </c>
      <c r="B8166" t="str">
        <f t="shared" si="160"/>
        <v>Молдинг задней двери</v>
      </c>
      <c r="C8166">
        <v>0</v>
      </c>
      <c r="D8166">
        <v>2170.9679999999998</v>
      </c>
    </row>
    <row r="8167" spans="1:4">
      <c r="A8167" t="str">
        <f>"82872-95F0D"</f>
        <v>82872-95F0D</v>
      </c>
      <c r="B8167" t="str">
        <f t="shared" si="160"/>
        <v>Молдинг задней двери</v>
      </c>
      <c r="C8167">
        <v>3</v>
      </c>
      <c r="D8167">
        <v>2875.5840000000003</v>
      </c>
    </row>
    <row r="8168" spans="1:4">
      <c r="A8168" t="str">
        <f>"82872-95F0G"</f>
        <v>82872-95F0G</v>
      </c>
      <c r="B8168" t="str">
        <f t="shared" si="160"/>
        <v>Молдинг задней двери</v>
      </c>
      <c r="C8168">
        <v>1</v>
      </c>
      <c r="D8168">
        <v>2649.1439999999998</v>
      </c>
    </row>
    <row r="8169" spans="1:4">
      <c r="A8169" t="str">
        <f>"82873-95F0A"</f>
        <v>82873-95F0A</v>
      </c>
      <c r="B8169" t="str">
        <f t="shared" si="160"/>
        <v>Молдинг задней двери</v>
      </c>
      <c r="C8169">
        <v>4</v>
      </c>
      <c r="D8169">
        <v>1754.3999999999999</v>
      </c>
    </row>
    <row r="8170" spans="1:4">
      <c r="A8170" t="str">
        <f>"82873-95F0B"</f>
        <v>82873-95F0B</v>
      </c>
      <c r="B8170" t="str">
        <f t="shared" si="160"/>
        <v>Молдинг задней двери</v>
      </c>
      <c r="C8170">
        <v>3</v>
      </c>
      <c r="D8170">
        <v>2893.5360000000001</v>
      </c>
    </row>
    <row r="8171" spans="1:4">
      <c r="A8171" t="str">
        <f>"82873-95F0D"</f>
        <v>82873-95F0D</v>
      </c>
      <c r="B8171" t="str">
        <f t="shared" si="160"/>
        <v>Молдинг задней двери</v>
      </c>
      <c r="C8171">
        <v>2</v>
      </c>
      <c r="D8171">
        <v>2997.9839999999999</v>
      </c>
    </row>
    <row r="8172" spans="1:4">
      <c r="A8172" t="str">
        <f>"82873-95F0G"</f>
        <v>82873-95F0G</v>
      </c>
      <c r="B8172" t="str">
        <f t="shared" si="160"/>
        <v>Молдинг задней двери</v>
      </c>
      <c r="C8172">
        <v>17</v>
      </c>
      <c r="D8172">
        <v>2244</v>
      </c>
    </row>
    <row r="8173" spans="1:4">
      <c r="A8173" t="str">
        <f>"82873-95F0H"</f>
        <v>82873-95F0H</v>
      </c>
      <c r="B8173" t="str">
        <f t="shared" si="160"/>
        <v>Молдинг задней двери</v>
      </c>
      <c r="C8173">
        <v>2</v>
      </c>
      <c r="D8173">
        <v>2974.7280000000001</v>
      </c>
    </row>
    <row r="8174" spans="1:4">
      <c r="A8174" t="str">
        <f>"82876-9Y010"</f>
        <v>82876-9Y010</v>
      </c>
      <c r="B8174" t="str">
        <f t="shared" si="160"/>
        <v>Молдинг задней двери</v>
      </c>
      <c r="C8174">
        <v>2</v>
      </c>
      <c r="D8174">
        <v>1849.8719999999998</v>
      </c>
    </row>
    <row r="8175" spans="1:4">
      <c r="A8175" t="str">
        <f>"82876-EQ70A"</f>
        <v>82876-EQ70A</v>
      </c>
      <c r="B8175" t="str">
        <f t="shared" si="160"/>
        <v>Молдинг задней двери</v>
      </c>
      <c r="C8175">
        <v>0</v>
      </c>
      <c r="D8175">
        <v>1249.2959999999998</v>
      </c>
    </row>
    <row r="8176" spans="1:4">
      <c r="A8176" t="str">
        <f>"82876-JG00A"</f>
        <v>82876-JG00A</v>
      </c>
      <c r="B8176" t="str">
        <f t="shared" si="160"/>
        <v>Молдинг задней двери</v>
      </c>
      <c r="C8176">
        <v>22</v>
      </c>
      <c r="D8176">
        <v>1634.856</v>
      </c>
    </row>
    <row r="8177" spans="1:4">
      <c r="A8177" t="str">
        <f>"82877-9Y010"</f>
        <v>82877-9Y010</v>
      </c>
      <c r="B8177" t="str">
        <f t="shared" si="160"/>
        <v>Молдинг задней двери</v>
      </c>
      <c r="C8177">
        <v>5</v>
      </c>
      <c r="D8177">
        <v>2029.3920000000001</v>
      </c>
    </row>
    <row r="8178" spans="1:4">
      <c r="A8178" t="str">
        <f>"82877-EQ70A"</f>
        <v>82877-EQ70A</v>
      </c>
      <c r="B8178" t="str">
        <f t="shared" si="160"/>
        <v>Молдинг задней двери</v>
      </c>
      <c r="C8178">
        <v>3</v>
      </c>
      <c r="D8178">
        <v>1280.712</v>
      </c>
    </row>
    <row r="8179" spans="1:4">
      <c r="A8179" t="str">
        <f>"82877-JG00A"</f>
        <v>82877-JG00A</v>
      </c>
      <c r="B8179" t="str">
        <f t="shared" si="160"/>
        <v>Молдинг задней двери</v>
      </c>
      <c r="C8179">
        <v>0</v>
      </c>
      <c r="D8179">
        <v>1537.752</v>
      </c>
    </row>
    <row r="8180" spans="1:4">
      <c r="A8180" t="str">
        <f>"82892-1AA1A"</f>
        <v>82892-1AA1A</v>
      </c>
      <c r="B8180" t="str">
        <f>"Наклейка двери защит"</f>
        <v>Наклейка двери защит</v>
      </c>
      <c r="C8180">
        <v>0</v>
      </c>
      <c r="D8180">
        <v>141.98399999999998</v>
      </c>
    </row>
    <row r="8181" spans="1:4">
      <c r="A8181" t="str">
        <f>"82892-8H300"</f>
        <v>82892-8H300</v>
      </c>
      <c r="B8181" t="str">
        <f>"PROTECTOR-DOOR"</f>
        <v>PROTECTOR-DOOR</v>
      </c>
      <c r="C8181">
        <v>1</v>
      </c>
      <c r="D8181">
        <v>264.38399999999996</v>
      </c>
    </row>
    <row r="8182" spans="1:4">
      <c r="A8182" t="str">
        <f>"82892-CA000"</f>
        <v>82892-CA000</v>
      </c>
      <c r="B8182" t="str">
        <f>"PROTECTOR_DOOR"</f>
        <v>PROTECTOR_DOOR</v>
      </c>
      <c r="C8182">
        <v>0</v>
      </c>
      <c r="D8182">
        <v>138.31200000000001</v>
      </c>
    </row>
    <row r="8183" spans="1:4">
      <c r="A8183" t="str">
        <f>"82892-CA010"</f>
        <v>82892-CA010</v>
      </c>
      <c r="B8183" t="str">
        <f>"PROTECTOR REAR"</f>
        <v>PROTECTOR REAR</v>
      </c>
      <c r="C8183">
        <v>1</v>
      </c>
      <c r="D8183">
        <v>268.464</v>
      </c>
    </row>
    <row r="8184" spans="1:4">
      <c r="A8184" t="str">
        <f>"82892-EB300"</f>
        <v>82892-EB300</v>
      </c>
      <c r="B8184" t="str">
        <f>"Наклейка двери защит"</f>
        <v>Наклейка двери защит</v>
      </c>
      <c r="C8184">
        <v>6</v>
      </c>
      <c r="D8184">
        <v>434.928</v>
      </c>
    </row>
    <row r="8185" spans="1:4">
      <c r="A8185" t="str">
        <f>"82892-EB310"</f>
        <v>82892-EB310</v>
      </c>
      <c r="B8185" t="str">
        <f>"Наклейка двери защит"</f>
        <v>Наклейка двери защит</v>
      </c>
      <c r="C8185">
        <v>2</v>
      </c>
      <c r="D8185">
        <v>574.87199999999996</v>
      </c>
    </row>
    <row r="8186" spans="1:4">
      <c r="A8186" t="str">
        <f>"82892-EL000"</f>
        <v>82892-EL000</v>
      </c>
      <c r="B8186" t="str">
        <f>"Наклейка двери защит"</f>
        <v>Наклейка двери защит</v>
      </c>
      <c r="C8186">
        <v>3</v>
      </c>
      <c r="D8186">
        <v>146.06399999999999</v>
      </c>
    </row>
    <row r="8187" spans="1:4">
      <c r="A8187" t="str">
        <f>"82892-JG000"</f>
        <v>82892-JG000</v>
      </c>
      <c r="B8187" t="str">
        <f>"Наклейка двери защит"</f>
        <v>Наклейка двери защит</v>
      </c>
      <c r="C8187">
        <v>1</v>
      </c>
      <c r="D8187">
        <v>303.55200000000002</v>
      </c>
    </row>
    <row r="8188" spans="1:4">
      <c r="A8188" t="str">
        <f>"82892-JG00C"</f>
        <v>82892-JG00C</v>
      </c>
      <c r="B8188" t="str">
        <f>"Наклейка двери защит"</f>
        <v>Наклейка двери защит</v>
      </c>
      <c r="C8188">
        <v>1</v>
      </c>
      <c r="D8188">
        <v>177.072</v>
      </c>
    </row>
    <row r="8189" spans="1:4">
      <c r="A8189" t="str">
        <f>"82893-8H300"</f>
        <v>82893-8H300</v>
      </c>
      <c r="B8189" t="str">
        <f>"PROTECTOR-DOOR"</f>
        <v>PROTECTOR-DOOR</v>
      </c>
      <c r="C8189">
        <v>4</v>
      </c>
      <c r="D8189">
        <v>271.72800000000001</v>
      </c>
    </row>
    <row r="8190" spans="1:4">
      <c r="A8190" t="str">
        <f>"82893-CA010"</f>
        <v>82893-CA010</v>
      </c>
      <c r="B8190" t="str">
        <f>"PROTECTOR REAR"</f>
        <v>PROTECTOR REAR</v>
      </c>
      <c r="C8190">
        <v>12</v>
      </c>
      <c r="D8190">
        <v>268.87200000000001</v>
      </c>
    </row>
    <row r="8191" spans="1:4">
      <c r="A8191" t="str">
        <f>"82893-EB300"</f>
        <v>82893-EB300</v>
      </c>
      <c r="B8191" t="str">
        <f>"Наклейка двери защит"</f>
        <v>Наклейка двери защит</v>
      </c>
      <c r="C8191">
        <v>5</v>
      </c>
      <c r="D8191">
        <v>412.488</v>
      </c>
    </row>
    <row r="8192" spans="1:4">
      <c r="A8192" t="str">
        <f>"82893-EB310"</f>
        <v>82893-EB310</v>
      </c>
      <c r="B8192" t="str">
        <f>"Наклейка двери защит"</f>
        <v>Наклейка двери защит</v>
      </c>
      <c r="C8192">
        <v>2</v>
      </c>
      <c r="D8192">
        <v>370.87200000000001</v>
      </c>
    </row>
    <row r="8193" spans="1:4">
      <c r="A8193" t="str">
        <f>"82893-EL000"</f>
        <v>82893-EL000</v>
      </c>
      <c r="B8193" t="str">
        <f>"Наклейка двери защит"</f>
        <v>Наклейка двери защит</v>
      </c>
      <c r="C8193">
        <v>4</v>
      </c>
      <c r="D8193">
        <v>102</v>
      </c>
    </row>
    <row r="8194" spans="1:4">
      <c r="A8194" t="str">
        <f>"82893-JG000"</f>
        <v>82893-JG000</v>
      </c>
      <c r="B8194" t="str">
        <f>"Наклейка двери защит"</f>
        <v>Наклейка двери защит</v>
      </c>
      <c r="C8194">
        <v>3</v>
      </c>
      <c r="D8194">
        <v>321.09599999999995</v>
      </c>
    </row>
    <row r="8195" spans="1:4">
      <c r="A8195" t="str">
        <f>"82893-JG00C"</f>
        <v>82893-JG00C</v>
      </c>
      <c r="B8195" t="str">
        <f>"Наклейка двери защит"</f>
        <v>Наклейка двери защит</v>
      </c>
      <c r="C8195">
        <v>0</v>
      </c>
      <c r="D8195">
        <v>169.32</v>
      </c>
    </row>
    <row r="8196" spans="1:4">
      <c r="A8196" t="str">
        <f>"82901-BC60A"</f>
        <v>82901-BC60A</v>
      </c>
      <c r="B8196" t="str">
        <f>"ОБШИВКА"</f>
        <v>ОБШИВКА</v>
      </c>
      <c r="C8196">
        <v>1</v>
      </c>
      <c r="D8196">
        <v>2110.5839999999998</v>
      </c>
    </row>
    <row r="8197" spans="1:4">
      <c r="A8197" t="str">
        <f>"82951-AV702"</f>
        <v>82951-AV702</v>
      </c>
      <c r="B8197" t="str">
        <f>"РУЧКА"</f>
        <v>РУЧКА</v>
      </c>
      <c r="C8197">
        <v>1</v>
      </c>
      <c r="D8197">
        <v>216.23999999999998</v>
      </c>
    </row>
    <row r="8198" spans="1:4">
      <c r="A8198" t="str">
        <f>"83300-1CA0A"</f>
        <v>83300-1CA0A</v>
      </c>
      <c r="B8198" t="str">
        <f>"Стекло боковое задне"</f>
        <v>Стекло боковое задне</v>
      </c>
      <c r="C8198">
        <v>2</v>
      </c>
      <c r="D8198">
        <v>15765.528</v>
      </c>
    </row>
    <row r="8199" spans="1:4">
      <c r="A8199" t="str">
        <f>"83300-1F201"</f>
        <v>83300-1F201</v>
      </c>
      <c r="B8199" t="str">
        <f>"Стекло боковое задне"</f>
        <v>Стекло боковое задне</v>
      </c>
      <c r="C8199">
        <v>1</v>
      </c>
      <c r="D8199">
        <v>8229.768</v>
      </c>
    </row>
    <row r="8200" spans="1:4">
      <c r="A8200" t="str">
        <f>"83300-8H501"</f>
        <v>83300-8H501</v>
      </c>
      <c r="B8200" t="str">
        <f>"Стекло боковое задне"</f>
        <v>Стекло боковое задне</v>
      </c>
      <c r="C8200">
        <v>0</v>
      </c>
      <c r="D8200">
        <v>8297.9040000000005</v>
      </c>
    </row>
    <row r="8201" spans="1:4">
      <c r="A8201" t="str">
        <f>"83300-9U000"</f>
        <v>83300-9U000</v>
      </c>
      <c r="B8201" t="str">
        <f>"Стекло боковое задне"</f>
        <v>Стекло боковое задне</v>
      </c>
      <c r="C8201">
        <v>2</v>
      </c>
      <c r="D8201">
        <v>3150.1679999999997</v>
      </c>
    </row>
    <row r="8202" spans="1:4">
      <c r="A8202" t="str">
        <f>"83300-9W50A"</f>
        <v>83300-9W50A</v>
      </c>
      <c r="B8202" t="str">
        <f>"Стекло боковое задне"</f>
        <v>Стекло боковое задне</v>
      </c>
      <c r="C8202">
        <v>6</v>
      </c>
      <c r="D8202">
        <v>10824.648000000001</v>
      </c>
    </row>
    <row r="8203" spans="1:4">
      <c r="A8203" t="str">
        <f>"83300-CA000"</f>
        <v>83300-CA000</v>
      </c>
      <c r="B8203" t="str">
        <f>"GLASS ASSY"</f>
        <v>GLASS ASSY</v>
      </c>
      <c r="C8203">
        <v>3</v>
      </c>
      <c r="D8203">
        <v>7633.6799999999994</v>
      </c>
    </row>
    <row r="8204" spans="1:4">
      <c r="A8204" t="str">
        <f>"83300-JG000"</f>
        <v>83300-JG000</v>
      </c>
      <c r="B8204" t="str">
        <f>"Стекло боковое задне"</f>
        <v>Стекло боковое задне</v>
      </c>
      <c r="C8204">
        <v>2</v>
      </c>
      <c r="D8204">
        <v>7191.8159999999998</v>
      </c>
    </row>
    <row r="8205" spans="1:4">
      <c r="A8205" t="str">
        <f>"83300-JG100"</f>
        <v>83300-JG100</v>
      </c>
      <c r="B8205" t="str">
        <f>"Стекло боковое задне"</f>
        <v>Стекло боковое задне</v>
      </c>
      <c r="C8205">
        <v>0</v>
      </c>
      <c r="D8205">
        <v>8475.7919999999995</v>
      </c>
    </row>
    <row r="8206" spans="1:4">
      <c r="A8206" t="str">
        <f>"83300-JN20B"</f>
        <v>83300-JN20B</v>
      </c>
      <c r="B8206" t="str">
        <f>"Стекло боковое задне"</f>
        <v>Стекло боковое задне</v>
      </c>
      <c r="C8206">
        <v>5</v>
      </c>
      <c r="D8206">
        <v>12441.96</v>
      </c>
    </row>
    <row r="8207" spans="1:4">
      <c r="A8207" t="str">
        <f>"83301-1CA0A"</f>
        <v>83301-1CA0A</v>
      </c>
      <c r="B8207" t="str">
        <f>"Стекло заднее ле"</f>
        <v>Стекло заднее ле</v>
      </c>
      <c r="C8207">
        <v>1</v>
      </c>
      <c r="D8207">
        <v>14453.807999999999</v>
      </c>
    </row>
    <row r="8208" spans="1:4">
      <c r="A8208" t="str">
        <f>"83301-8H301"</f>
        <v>83301-8H301</v>
      </c>
      <c r="B8208" t="str">
        <f>"GLASS ASSY"</f>
        <v>GLASS ASSY</v>
      </c>
      <c r="C8208">
        <v>0</v>
      </c>
      <c r="D8208">
        <v>6906.2160000000003</v>
      </c>
    </row>
    <row r="8209" spans="1:4">
      <c r="A8209" t="str">
        <f>"83301-8H501"</f>
        <v>83301-8H501</v>
      </c>
      <c r="B8209" t="str">
        <f t="shared" ref="B8209:B8215" si="161">"Стекло боковое задне"</f>
        <v>Стекло боковое задне</v>
      </c>
      <c r="C8209">
        <v>1</v>
      </c>
      <c r="D8209">
        <v>8310.5519999999997</v>
      </c>
    </row>
    <row r="8210" spans="1:4">
      <c r="A8210" t="str">
        <f>"83301-9U000"</f>
        <v>83301-9U000</v>
      </c>
      <c r="B8210" t="str">
        <f t="shared" si="161"/>
        <v>Стекло боковое задне</v>
      </c>
      <c r="C8210">
        <v>2</v>
      </c>
      <c r="D8210">
        <v>3150.1679999999997</v>
      </c>
    </row>
    <row r="8211" spans="1:4">
      <c r="A8211" t="str">
        <f>"83301-9W50A"</f>
        <v>83301-9W50A</v>
      </c>
      <c r="B8211" t="str">
        <f t="shared" si="161"/>
        <v>Стекло боковое задне</v>
      </c>
      <c r="C8211">
        <v>4</v>
      </c>
      <c r="D8211">
        <v>11031.096</v>
      </c>
    </row>
    <row r="8212" spans="1:4">
      <c r="A8212" t="str">
        <f>"83301-CA000"</f>
        <v>83301-CA000</v>
      </c>
      <c r="B8212" t="str">
        <f t="shared" si="161"/>
        <v>Стекло боковое задне</v>
      </c>
      <c r="C8212">
        <v>2</v>
      </c>
      <c r="D8212">
        <v>9306.48</v>
      </c>
    </row>
    <row r="8213" spans="1:4">
      <c r="A8213" t="str">
        <f>"83301-JG000"</f>
        <v>83301-JG000</v>
      </c>
      <c r="B8213" t="str">
        <f t="shared" si="161"/>
        <v>Стекло боковое задне</v>
      </c>
      <c r="C8213">
        <v>0</v>
      </c>
      <c r="D8213">
        <v>6907.848</v>
      </c>
    </row>
    <row r="8214" spans="1:4">
      <c r="A8214" t="str">
        <f>"83301-JG100"</f>
        <v>83301-JG100</v>
      </c>
      <c r="B8214" t="str">
        <f t="shared" si="161"/>
        <v>Стекло боковое задне</v>
      </c>
      <c r="C8214">
        <v>1</v>
      </c>
      <c r="D8214">
        <v>8638.9920000000002</v>
      </c>
    </row>
    <row r="8215" spans="1:4">
      <c r="A8215" t="str">
        <f>"83301-JN20B"</f>
        <v>83301-JN20B</v>
      </c>
      <c r="B8215" t="str">
        <f t="shared" si="161"/>
        <v>Стекло боковое задне</v>
      </c>
      <c r="C8215">
        <v>3</v>
      </c>
      <c r="D8215">
        <v>12441.96</v>
      </c>
    </row>
    <row r="8216" spans="1:4">
      <c r="A8216" t="str">
        <f>"83301-VC710"</f>
        <v>83301-VC710</v>
      </c>
      <c r="B8216" t="str">
        <f>"GLASS ASSY"</f>
        <v>GLASS ASSY</v>
      </c>
      <c r="C8216">
        <v>1</v>
      </c>
      <c r="D8216">
        <v>10324.44</v>
      </c>
    </row>
    <row r="8217" spans="1:4">
      <c r="A8217" t="str">
        <f>"83306-1BA0B"</f>
        <v>83306-1BA0B</v>
      </c>
      <c r="B8217" t="str">
        <f>"Стекло боковое задне"</f>
        <v>Стекло боковое задне</v>
      </c>
      <c r="C8217">
        <v>1</v>
      </c>
      <c r="D8217">
        <v>7344</v>
      </c>
    </row>
    <row r="8218" spans="1:4">
      <c r="A8218" t="str">
        <f>"83306-EB305"</f>
        <v>83306-EB305</v>
      </c>
      <c r="B8218" t="str">
        <f>"Стекло боковое задне"</f>
        <v>Стекло боковое задне</v>
      </c>
      <c r="C8218">
        <v>2</v>
      </c>
      <c r="D8218">
        <v>7598.1839999999993</v>
      </c>
    </row>
    <row r="8219" spans="1:4">
      <c r="A8219" t="str">
        <f>"83307-EB305"</f>
        <v>83307-EB305</v>
      </c>
      <c r="B8219" t="str">
        <f>"GLASS ASSY-SIDE"</f>
        <v>GLASS ASSY-SIDE</v>
      </c>
      <c r="C8219">
        <v>1</v>
      </c>
      <c r="D8219">
        <v>7530.8639999999996</v>
      </c>
    </row>
    <row r="8220" spans="1:4">
      <c r="A8220" t="str">
        <f>"83312-JD00A"</f>
        <v>83312-JD00A</v>
      </c>
      <c r="B8220" t="str">
        <f>"Стекло боковое задне"</f>
        <v>Стекло боковое задне</v>
      </c>
      <c r="C8220">
        <v>0</v>
      </c>
      <c r="D8220">
        <v>2495.7360000000003</v>
      </c>
    </row>
    <row r="8221" spans="1:4">
      <c r="A8221" t="str">
        <f>"83313-JD00A"</f>
        <v>83313-JD00A</v>
      </c>
      <c r="B8221" t="str">
        <f>"Стекло боковое задне"</f>
        <v>Стекло боковое задне</v>
      </c>
      <c r="C8221">
        <v>3</v>
      </c>
      <c r="D8221">
        <v>2553.2639999999997</v>
      </c>
    </row>
    <row r="8222" spans="1:4">
      <c r="A8222" t="str">
        <f>"84300-95F0C"</f>
        <v>84300-95F0C</v>
      </c>
      <c r="B8222" t="str">
        <f>"Крышка багажника"</f>
        <v>Крышка багажника</v>
      </c>
      <c r="C8222">
        <v>2</v>
      </c>
      <c r="D8222">
        <v>14681.063999999998</v>
      </c>
    </row>
    <row r="8223" spans="1:4">
      <c r="A8223" t="str">
        <f>"84300-9M730"</f>
        <v>84300-9M730</v>
      </c>
      <c r="B8223" t="str">
        <f>"LID-TRUNK"</f>
        <v>LID-TRUNK</v>
      </c>
      <c r="C8223">
        <v>10</v>
      </c>
      <c r="D8223">
        <v>18982.2</v>
      </c>
    </row>
    <row r="8224" spans="1:4">
      <c r="A8224" t="str">
        <f>"84300-AV631"</f>
        <v>84300-AV631</v>
      </c>
      <c r="B8224" t="str">
        <f>"LID-TRUNK"</f>
        <v>LID-TRUNK</v>
      </c>
      <c r="C8224">
        <v>2</v>
      </c>
      <c r="D8224">
        <v>18236.784</v>
      </c>
    </row>
    <row r="8225" spans="1:4">
      <c r="A8225" t="str">
        <f>"84400-2Y000"</f>
        <v>84400-2Y000</v>
      </c>
      <c r="B8225" t="str">
        <f>"HINGE TRUNK LID"</f>
        <v>HINGE TRUNK LID</v>
      </c>
      <c r="C8225">
        <v>1</v>
      </c>
      <c r="D8225">
        <v>1958.3999999999999</v>
      </c>
    </row>
    <row r="8226" spans="1:4">
      <c r="A8226" t="str">
        <f>"84400-95F0A"</f>
        <v>84400-95F0A</v>
      </c>
      <c r="B8226" t="str">
        <f>"Петля крышки багажни"</f>
        <v>Петля крышки багажни</v>
      </c>
      <c r="C8226">
        <v>6</v>
      </c>
      <c r="D8226">
        <v>1443.912</v>
      </c>
    </row>
    <row r="8227" spans="1:4">
      <c r="A8227" t="str">
        <f>"84400-AV630"</f>
        <v>84400-AV630</v>
      </c>
      <c r="B8227" t="str">
        <f>"HINGE ASSY-TRUN"</f>
        <v>HINGE ASSY-TRUN</v>
      </c>
      <c r="C8227">
        <v>1</v>
      </c>
      <c r="D8227">
        <v>2774.4</v>
      </c>
    </row>
    <row r="8228" spans="1:4">
      <c r="A8228" t="str">
        <f>"84400-JN00A"</f>
        <v>84400-JN00A</v>
      </c>
      <c r="B8228" t="str">
        <f>"Петля крышки багажни"</f>
        <v>Петля крышки багажни</v>
      </c>
      <c r="C8228">
        <v>1</v>
      </c>
      <c r="D8228">
        <v>3173.0159999999996</v>
      </c>
    </row>
    <row r="8229" spans="1:4">
      <c r="A8229" t="str">
        <f>"84401-JN00A"</f>
        <v>84401-JN00A</v>
      </c>
      <c r="B8229" t="str">
        <f>"Петля крышки багажни"</f>
        <v>Петля крышки багажни</v>
      </c>
      <c r="C8229">
        <v>2</v>
      </c>
      <c r="D8229">
        <v>3184.4399999999996</v>
      </c>
    </row>
    <row r="8230" spans="1:4">
      <c r="A8230" t="str">
        <f>"84420-95F0A"</f>
        <v>84420-95F0A</v>
      </c>
      <c r="B8230" t="str">
        <f>"Замок крышки багажни"</f>
        <v>Замок крышки багажни</v>
      </c>
      <c r="C8230">
        <v>6</v>
      </c>
      <c r="D8230">
        <v>1090.992</v>
      </c>
    </row>
    <row r="8231" spans="1:4">
      <c r="A8231" t="str">
        <f>"84430-9Y000"</f>
        <v>84430-9Y000</v>
      </c>
      <c r="B8231" t="str">
        <f>"Стойка крышки багажн"</f>
        <v>Стойка крышки багажн</v>
      </c>
      <c r="C8231">
        <v>2</v>
      </c>
      <c r="D8231">
        <v>3513.6959999999999</v>
      </c>
    </row>
    <row r="8232" spans="1:4">
      <c r="A8232" t="str">
        <f>"84430-AV600"</f>
        <v>84430-AV600</v>
      </c>
      <c r="B8232" t="str">
        <f>"STAY ASSY-TRUNK"</f>
        <v>STAY ASSY-TRUNK</v>
      </c>
      <c r="C8232">
        <v>9</v>
      </c>
      <c r="D8232">
        <v>4483.5119999999997</v>
      </c>
    </row>
    <row r="8233" spans="1:4">
      <c r="A8233" t="str">
        <f>"84430-EJ70C"</f>
        <v>84430-EJ70C</v>
      </c>
      <c r="B8233" t="str">
        <f>"Стойка крышки багажн"</f>
        <v>Стойка крышки багажн</v>
      </c>
      <c r="C8233">
        <v>2</v>
      </c>
      <c r="D8233">
        <v>3269.712</v>
      </c>
    </row>
    <row r="8234" spans="1:4">
      <c r="A8234" t="str">
        <f>"84620-4M40A"</f>
        <v>84620-4M40A</v>
      </c>
      <c r="B8234" t="str">
        <f>"Замок багажника"</f>
        <v>Замок багажника</v>
      </c>
      <c r="C8234">
        <v>24</v>
      </c>
      <c r="D8234">
        <v>669.12</v>
      </c>
    </row>
    <row r="8235" spans="1:4">
      <c r="A8235" t="str">
        <f>"84620-8E011"</f>
        <v>84620-8E011</v>
      </c>
      <c r="B8235" t="str">
        <f>"STRIKER-TRUNK L"</f>
        <v>STRIKER-TRUNK L</v>
      </c>
      <c r="C8235">
        <v>4</v>
      </c>
      <c r="D8235">
        <v>533.66399999999999</v>
      </c>
    </row>
    <row r="8236" spans="1:4">
      <c r="A8236" t="str">
        <f>"84620-AV600"</f>
        <v>84620-AV600</v>
      </c>
      <c r="B8236" t="str">
        <f>"STRIKER-TRUNK L"</f>
        <v>STRIKER-TRUNK L</v>
      </c>
      <c r="C8236">
        <v>2</v>
      </c>
      <c r="D8236">
        <v>1148.52</v>
      </c>
    </row>
    <row r="8237" spans="1:4">
      <c r="A8237" t="str">
        <f>"84620-JN00A"</f>
        <v>84620-JN00A</v>
      </c>
      <c r="B8237" t="str">
        <f>"Замок крышки багажни"</f>
        <v>Замок крышки багажни</v>
      </c>
      <c r="C8237">
        <v>1</v>
      </c>
      <c r="D8237">
        <v>1082.0159999999998</v>
      </c>
    </row>
    <row r="8238" spans="1:4">
      <c r="A8238" t="str">
        <f>"84630-59C0C"</f>
        <v>84630-59C0C</v>
      </c>
      <c r="B8238" t="str">
        <f>"Замок крышки багажни"</f>
        <v>Замок крышки багажни</v>
      </c>
      <c r="C8238">
        <v>20</v>
      </c>
      <c r="D8238">
        <v>935.54399999999998</v>
      </c>
    </row>
    <row r="8239" spans="1:4">
      <c r="A8239" t="str">
        <f>"84630-95F0B"</f>
        <v>84630-95F0B</v>
      </c>
      <c r="B8239" t="str">
        <f>"Замок крышки багажни"</f>
        <v>Замок крышки багажни</v>
      </c>
      <c r="C8239">
        <v>0</v>
      </c>
      <c r="D8239">
        <v>975.12</v>
      </c>
    </row>
    <row r="8240" spans="1:4">
      <c r="A8240" t="str">
        <f>"84630-95F0C"</f>
        <v>84630-95F0C</v>
      </c>
      <c r="B8240" t="str">
        <f>"Замок крышки багажни"</f>
        <v>Замок крышки багажни</v>
      </c>
      <c r="C8240">
        <v>9</v>
      </c>
      <c r="D8240">
        <v>929.83199999999999</v>
      </c>
    </row>
    <row r="8241" spans="1:4">
      <c r="A8241" t="str">
        <f>"84630-AV600"</f>
        <v>84630-AV600</v>
      </c>
      <c r="B8241" t="str">
        <f>"LOCK ASSY-TRUNK"</f>
        <v>LOCK ASSY-TRUNK</v>
      </c>
      <c r="C8241">
        <v>5</v>
      </c>
      <c r="D8241">
        <v>909.84</v>
      </c>
    </row>
    <row r="8242" spans="1:4">
      <c r="A8242" t="str">
        <f>"84631-9W50A"</f>
        <v>84631-9W50A</v>
      </c>
      <c r="B8242" t="str">
        <f>"Замок крышки багажни"</f>
        <v>Замок крышки багажни</v>
      </c>
      <c r="C8242">
        <v>7</v>
      </c>
      <c r="D8242">
        <v>1952.28</v>
      </c>
    </row>
    <row r="8243" spans="1:4">
      <c r="A8243" t="str">
        <f>"84631-JN00A"</f>
        <v>84631-JN00A</v>
      </c>
      <c r="B8243" t="str">
        <f>"Замок крышки багажни"</f>
        <v>Замок крышки багажни</v>
      </c>
      <c r="C8243">
        <v>6</v>
      </c>
      <c r="D8243">
        <v>2144.8560000000002</v>
      </c>
    </row>
    <row r="8244" spans="1:4">
      <c r="A8244" t="str">
        <f>"84632-4M400"</f>
        <v>84632-4M400</v>
      </c>
      <c r="B8244" t="str">
        <f>"COVER-T/LID"</f>
        <v>COVER-T/LID</v>
      </c>
      <c r="C8244">
        <v>3</v>
      </c>
      <c r="D8244">
        <v>98.736000000000004</v>
      </c>
    </row>
    <row r="8245" spans="1:4">
      <c r="A8245" t="str">
        <f>"84632-8E001"</f>
        <v>84632-8E001</v>
      </c>
      <c r="B8245" t="str">
        <f>"COVER-T/LID"</f>
        <v>COVER-T/LID</v>
      </c>
      <c r="C8245">
        <v>8</v>
      </c>
      <c r="D8245">
        <v>99.144000000000005</v>
      </c>
    </row>
    <row r="8246" spans="1:4">
      <c r="A8246" t="str">
        <f>"84632-9F500"</f>
        <v>84632-9F500</v>
      </c>
      <c r="B8246" t="str">
        <f>"COVER-TRUNK LID"</f>
        <v>COVER-TRUNK LID</v>
      </c>
      <c r="C8246">
        <v>3</v>
      </c>
      <c r="D8246">
        <v>408</v>
      </c>
    </row>
    <row r="8247" spans="1:4">
      <c r="A8247" t="str">
        <f>"84640-4F116"</f>
        <v>84640-4F116</v>
      </c>
      <c r="B8247" t="str">
        <f>"Ручка открывания баг"</f>
        <v>Ручка открывания баг</v>
      </c>
      <c r="C8247">
        <v>1</v>
      </c>
      <c r="D8247">
        <v>493.27199999999999</v>
      </c>
    </row>
    <row r="8248" spans="1:4">
      <c r="A8248" t="str">
        <f>"84640-95F0B"</f>
        <v>84640-95F0B</v>
      </c>
      <c r="B8248" t="str">
        <f>"Ручка открывания баг"</f>
        <v>Ручка открывания баг</v>
      </c>
      <c r="C8248">
        <v>8</v>
      </c>
      <c r="D8248">
        <v>1381.4880000000001</v>
      </c>
    </row>
    <row r="8249" spans="1:4">
      <c r="A8249" t="str">
        <f>"84650-40U10"</f>
        <v>84650-40U10</v>
      </c>
      <c r="B8249" t="str">
        <f>"CABLE"</f>
        <v>CABLE</v>
      </c>
      <c r="C8249">
        <v>2</v>
      </c>
      <c r="D8249">
        <v>1858.44</v>
      </c>
    </row>
    <row r="8250" spans="1:4">
      <c r="A8250" t="str">
        <f>"84650-95F0A"</f>
        <v>84650-95F0A</v>
      </c>
      <c r="B8250" t="str">
        <f>"Трос замка крышки ба"</f>
        <v>Трос замка крышки ба</v>
      </c>
      <c r="C8250">
        <v>1</v>
      </c>
      <c r="D8250">
        <v>1285.2</v>
      </c>
    </row>
    <row r="8251" spans="1:4">
      <c r="A8251" t="str">
        <f>"84660-2F025"</f>
        <v>84660-2F025</v>
      </c>
      <c r="B8251" t="str">
        <f>"CYLINDER-LOCK"</f>
        <v>CYLINDER-LOCK</v>
      </c>
      <c r="C8251">
        <v>0</v>
      </c>
      <c r="D8251">
        <v>1329.6719999999998</v>
      </c>
    </row>
    <row r="8252" spans="1:4">
      <c r="A8252" t="str">
        <f>"84670-4M50A"</f>
        <v>84670-4M50A</v>
      </c>
      <c r="B8252" t="str">
        <f>"Тяга замка крышки ба"</f>
        <v>Тяга замка крышки ба</v>
      </c>
      <c r="C8252">
        <v>2</v>
      </c>
      <c r="D8252">
        <v>448.8</v>
      </c>
    </row>
    <row r="8253" spans="1:4">
      <c r="A8253" t="str">
        <f>"84680-5M30A"</f>
        <v>84680-5M30A</v>
      </c>
      <c r="B8253" t="str">
        <f>"Замок багажника элек"</f>
        <v>Замок багажника элек</v>
      </c>
      <c r="C8253">
        <v>2</v>
      </c>
      <c r="D8253">
        <v>3303.9839999999999</v>
      </c>
    </row>
    <row r="8254" spans="1:4">
      <c r="A8254" t="str">
        <f>"84810-9W60A"</f>
        <v>84810-9W60A</v>
      </c>
      <c r="B8254" t="str">
        <f>"Облицовка крышки баг"</f>
        <v>Облицовка крышки баг</v>
      </c>
      <c r="C8254">
        <v>9</v>
      </c>
      <c r="D8254">
        <v>4386</v>
      </c>
    </row>
    <row r="8255" spans="1:4">
      <c r="A8255" t="str">
        <f>"84810-9W60D"</f>
        <v>84810-9W60D</v>
      </c>
      <c r="B8255" t="str">
        <f>"Облицовка крышки баг"</f>
        <v>Облицовка крышки баг</v>
      </c>
      <c r="C8255">
        <v>11</v>
      </c>
      <c r="D8255">
        <v>4483.5119999999997</v>
      </c>
    </row>
    <row r="8256" spans="1:4">
      <c r="A8256" t="str">
        <f>"84810-AU360"</f>
        <v>84810-AU360</v>
      </c>
      <c r="B8256" t="str">
        <f>"FINISHER ASSY-T"</f>
        <v>FINISHER ASSY-T</v>
      </c>
      <c r="C8256">
        <v>1</v>
      </c>
      <c r="D8256">
        <v>5345.2079999999996</v>
      </c>
    </row>
    <row r="8257" spans="1:4">
      <c r="A8257" t="str">
        <f>"84810-BM574"</f>
        <v>84810-BM574</v>
      </c>
      <c r="B8257" t="str">
        <f>"FINISHER ASSY-T"</f>
        <v>FINISHER ASSY-T</v>
      </c>
      <c r="C8257">
        <v>11</v>
      </c>
      <c r="D8257">
        <v>6430.8959999999997</v>
      </c>
    </row>
    <row r="8258" spans="1:4">
      <c r="A8258" t="str">
        <f>"84810-EC80A"</f>
        <v>84810-EC80A</v>
      </c>
      <c r="B8258" t="str">
        <f>"Облицовка крышки баг"</f>
        <v>Облицовка крышки баг</v>
      </c>
      <c r="C8258">
        <v>3</v>
      </c>
      <c r="D8258">
        <v>5167.3200000000006</v>
      </c>
    </row>
    <row r="8259" spans="1:4">
      <c r="A8259" t="str">
        <f>"84810-EC80B"</f>
        <v>84810-EC80B</v>
      </c>
      <c r="B8259" t="str">
        <f>"Облицовка крышки баг"</f>
        <v>Облицовка крышки баг</v>
      </c>
      <c r="C8259">
        <v>2</v>
      </c>
      <c r="D8259">
        <v>4035.12</v>
      </c>
    </row>
    <row r="8260" spans="1:4">
      <c r="A8260" t="str">
        <f>"84810-JN03A"</f>
        <v>84810-JN03A</v>
      </c>
      <c r="B8260" t="str">
        <f>"Облицовка крышки баг"</f>
        <v>Облицовка крышки баг</v>
      </c>
      <c r="C8260">
        <v>36</v>
      </c>
      <c r="D8260">
        <v>4577.3519999999999</v>
      </c>
    </row>
    <row r="8261" spans="1:4">
      <c r="A8261" t="str">
        <f>"84810-JN95A"</f>
        <v>84810-JN95A</v>
      </c>
      <c r="B8261" t="str">
        <f>"Облицовка двери"</f>
        <v>Облицовка двери</v>
      </c>
      <c r="C8261">
        <v>0</v>
      </c>
      <c r="D8261">
        <v>4594.4879999999994</v>
      </c>
    </row>
    <row r="8262" spans="1:4">
      <c r="A8262" t="str">
        <f>"84830-JN00A"</f>
        <v>84830-JN00A</v>
      </c>
      <c r="B8262" t="str">
        <f>"Уплотнитель багажник"</f>
        <v>Уплотнитель багажник</v>
      </c>
      <c r="C8262">
        <v>3</v>
      </c>
      <c r="D8262">
        <v>3150.1679999999997</v>
      </c>
    </row>
    <row r="8263" spans="1:4">
      <c r="A8263" t="str">
        <f>"84840-0M000"</f>
        <v>84840-0M000</v>
      </c>
      <c r="B8263" t="str">
        <f>"BUMPER-TRUNK"</f>
        <v>BUMPER-TRUNK</v>
      </c>
      <c r="C8263">
        <v>12</v>
      </c>
      <c r="D8263">
        <v>83.231999999999999</v>
      </c>
    </row>
    <row r="8264" spans="1:4">
      <c r="A8264" t="str">
        <f>"84840-2L700"</f>
        <v>84840-2L700</v>
      </c>
      <c r="B8264" t="str">
        <f>"Отбойник капота"</f>
        <v>Отбойник капота</v>
      </c>
      <c r="C8264">
        <v>15</v>
      </c>
      <c r="D8264">
        <v>127.29599999999999</v>
      </c>
    </row>
    <row r="8265" spans="1:4">
      <c r="A8265" t="str">
        <f>"84840-40U00"</f>
        <v>84840-40U00</v>
      </c>
      <c r="B8265" t="str">
        <f>"BUMPER-TRUNK"</f>
        <v>BUMPER-TRUNK</v>
      </c>
      <c r="C8265">
        <v>9</v>
      </c>
      <c r="D8265">
        <v>68.135999999999996</v>
      </c>
    </row>
    <row r="8266" spans="1:4">
      <c r="A8266" t="str">
        <f>"84840-4M400"</f>
        <v>84840-4M400</v>
      </c>
      <c r="B8266" t="str">
        <f>"BUMPER-TRUNK"</f>
        <v>BUMPER-TRUNK</v>
      </c>
      <c r="C8266">
        <v>8</v>
      </c>
      <c r="D8266">
        <v>97.919999999999987</v>
      </c>
    </row>
    <row r="8267" spans="1:4">
      <c r="A8267" t="str">
        <f>"84840-95F0A"</f>
        <v>84840-95F0A</v>
      </c>
      <c r="B8267" t="str">
        <f>"Отбойник крышки бага"</f>
        <v>Отбойник крышки бага</v>
      </c>
      <c r="C8267">
        <v>0</v>
      </c>
      <c r="D8267">
        <v>88.536000000000001</v>
      </c>
    </row>
    <row r="8268" spans="1:4">
      <c r="A8268" t="str">
        <f>"84856-95F0A"</f>
        <v>84856-95F0A</v>
      </c>
      <c r="B8268" t="str">
        <f>"Кожух замка  крышки "</f>
        <v xml:space="preserve">Кожух замка  крышки </v>
      </c>
      <c r="C8268">
        <v>7</v>
      </c>
      <c r="D8268">
        <v>469.60799999999995</v>
      </c>
    </row>
    <row r="8269" spans="1:4">
      <c r="A8269" t="str">
        <f>"84857-JD00A"</f>
        <v>84857-JD00A</v>
      </c>
      <c r="B8269" t="str">
        <f>"Болт"</f>
        <v>Болт</v>
      </c>
      <c r="C8269">
        <v>5</v>
      </c>
      <c r="D8269">
        <v>15.504</v>
      </c>
    </row>
    <row r="8270" spans="1:4">
      <c r="A8270" t="str">
        <f>"84860-9Y000"</f>
        <v>84860-9Y000</v>
      </c>
      <c r="B8270" t="str">
        <f>"Молдинг крышки багаж"</f>
        <v>Молдинг крышки багаж</v>
      </c>
      <c r="C8270">
        <v>2</v>
      </c>
      <c r="D8270">
        <v>2181.9839999999999</v>
      </c>
    </row>
    <row r="8271" spans="1:4">
      <c r="A8271" t="str">
        <f>"84860-JN00C"</f>
        <v>84860-JN00C</v>
      </c>
      <c r="B8271" t="str">
        <f>"Молдинг крышки багаж"</f>
        <v>Молдинг крышки багаж</v>
      </c>
      <c r="C8271">
        <v>5</v>
      </c>
      <c r="D8271">
        <v>1720.1279999999999</v>
      </c>
    </row>
    <row r="8272" spans="1:4">
      <c r="A8272" t="str">
        <f>"84860-JN91A"</f>
        <v>84860-JN91A</v>
      </c>
      <c r="B8272" t="str">
        <f>"Молдинг крышки багаж"</f>
        <v>Молдинг крышки багаж</v>
      </c>
      <c r="C8272">
        <v>2</v>
      </c>
      <c r="D8272">
        <v>1840.0800000000002</v>
      </c>
    </row>
    <row r="8273" spans="1:4">
      <c r="A8273" t="str">
        <f>"84862-3Y500"</f>
        <v>84862-3Y500</v>
      </c>
      <c r="B8273" t="str">
        <f>"MOULDING-RH"</f>
        <v>MOULDING-RH</v>
      </c>
      <c r="C8273">
        <v>1</v>
      </c>
      <c r="D8273">
        <v>1823.3520000000001</v>
      </c>
    </row>
    <row r="8274" spans="1:4">
      <c r="A8274" t="str">
        <f>"84890-0M000"</f>
        <v>84890-0M000</v>
      </c>
      <c r="B8274" t="str">
        <f>"EMBLEM"</f>
        <v>EMBLEM</v>
      </c>
      <c r="C8274">
        <v>0</v>
      </c>
      <c r="D8274">
        <v>716.85599999999999</v>
      </c>
    </row>
    <row r="8275" spans="1:4">
      <c r="A8275" t="str">
        <f>"84890-3Y500"</f>
        <v>84890-3Y500</v>
      </c>
      <c r="B8275" t="str">
        <f>"EMBLEM"</f>
        <v>EMBLEM</v>
      </c>
      <c r="C8275">
        <v>8</v>
      </c>
      <c r="D8275">
        <v>1037.5439999999999</v>
      </c>
    </row>
    <row r="8276" spans="1:4">
      <c r="A8276" t="str">
        <f>"84890-5Y500"</f>
        <v>84890-5Y500</v>
      </c>
      <c r="B8276" t="str">
        <f>"EMBLEM"</f>
        <v>EMBLEM</v>
      </c>
      <c r="C8276">
        <v>3</v>
      </c>
      <c r="D8276">
        <v>725.01599999999996</v>
      </c>
    </row>
    <row r="8277" spans="1:4">
      <c r="A8277" t="str">
        <f>"84890-8H700"</f>
        <v>84890-8H700</v>
      </c>
      <c r="B8277" t="str">
        <f>"EMBLEM"</f>
        <v>EMBLEM</v>
      </c>
      <c r="C8277">
        <v>22</v>
      </c>
      <c r="D8277">
        <v>683.4</v>
      </c>
    </row>
    <row r="8278" spans="1:4">
      <c r="A8278" t="str">
        <f>"84890-8M400"</f>
        <v>84890-8M400</v>
      </c>
      <c r="B8278" t="str">
        <f>"EMBLEM"</f>
        <v>EMBLEM</v>
      </c>
      <c r="C8278">
        <v>3</v>
      </c>
      <c r="D8278">
        <v>873.52800000000002</v>
      </c>
    </row>
    <row r="8279" spans="1:4">
      <c r="A8279" t="str">
        <f>"84890-9Y000"</f>
        <v>84890-9Y000</v>
      </c>
      <c r="B8279" t="str">
        <f>"Эмблема задняя"</f>
        <v>Эмблема задняя</v>
      </c>
      <c r="C8279">
        <v>9</v>
      </c>
      <c r="D8279">
        <v>713.18400000000008</v>
      </c>
    </row>
    <row r="8280" spans="1:4">
      <c r="A8280" t="str">
        <f>"84890-AU300"</f>
        <v>84890-AU300</v>
      </c>
      <c r="B8280" t="str">
        <f>"EMBLEM-TRUNK LI"</f>
        <v>EMBLEM-TRUNK LI</v>
      </c>
      <c r="C8280">
        <v>9</v>
      </c>
      <c r="D8280">
        <v>1055.4960000000001</v>
      </c>
    </row>
    <row r="8281" spans="1:4">
      <c r="A8281" t="str">
        <f>"84890-BN800"</f>
        <v>84890-BN800</v>
      </c>
      <c r="B8281" t="str">
        <f>"EMBLEM-TRUNK LI"</f>
        <v>EMBLEM-TRUNK LI</v>
      </c>
      <c r="C8281">
        <v>7</v>
      </c>
      <c r="D8281">
        <v>991.84799999999996</v>
      </c>
    </row>
    <row r="8282" spans="1:4">
      <c r="A8282" t="str">
        <f>"84890-JH00A"</f>
        <v>84890-JH00A</v>
      </c>
      <c r="B8282" t="str">
        <f>"Эмблема задняя"</f>
        <v>Эмблема задняя</v>
      </c>
      <c r="C8282">
        <v>0</v>
      </c>
      <c r="D8282">
        <v>689.52</v>
      </c>
    </row>
    <row r="8283" spans="1:4">
      <c r="A8283" t="str">
        <f>"84890-JK80A"</f>
        <v>84890-JK80A</v>
      </c>
      <c r="B8283" t="str">
        <f>"Эмблема задняя"</f>
        <v>Эмблема задняя</v>
      </c>
      <c r="C8283">
        <v>0</v>
      </c>
      <c r="D8283">
        <v>926.15999999999985</v>
      </c>
    </row>
    <row r="8284" spans="1:4">
      <c r="A8284" t="str">
        <f>"84890-JN00B"</f>
        <v>84890-JN00B</v>
      </c>
      <c r="B8284" t="str">
        <f>"Эмблема задняя"</f>
        <v>Эмблема задняя</v>
      </c>
      <c r="C8284">
        <v>59</v>
      </c>
      <c r="D8284">
        <v>711.55200000000002</v>
      </c>
    </row>
    <row r="8285" spans="1:4">
      <c r="A8285" t="str">
        <f>"84894-3Y500"</f>
        <v>84894-3Y500</v>
      </c>
      <c r="B8285" t="str">
        <f>"EMBLEM"</f>
        <v>EMBLEM</v>
      </c>
      <c r="C8285">
        <v>7</v>
      </c>
      <c r="D8285">
        <v>1414.9439999999997</v>
      </c>
    </row>
    <row r="8286" spans="1:4">
      <c r="A8286" t="str">
        <f>"84894-JK80A"</f>
        <v>84894-JK80A</v>
      </c>
      <c r="B8286" t="str">
        <f>"Эмблема задняя"</f>
        <v>Эмблема задняя</v>
      </c>
      <c r="C8286">
        <v>7</v>
      </c>
      <c r="D8286">
        <v>926.976</v>
      </c>
    </row>
    <row r="8287" spans="1:4">
      <c r="A8287" t="str">
        <f>"84895-1DA0B"</f>
        <v>84895-1DA0B</v>
      </c>
      <c r="B8287" t="str">
        <f>"Эмблема задняя"</f>
        <v>Эмблема задняя</v>
      </c>
      <c r="C8287">
        <v>10</v>
      </c>
      <c r="D8287">
        <v>1397.8079999999998</v>
      </c>
    </row>
    <row r="8288" spans="1:4">
      <c r="A8288" t="str">
        <f>"84895-9Y000"</f>
        <v>84895-9Y000</v>
      </c>
      <c r="B8288" t="str">
        <f>"Эмблема задняя"</f>
        <v>Эмблема задняя</v>
      </c>
      <c r="C8288">
        <v>0</v>
      </c>
      <c r="D8288">
        <v>1305.5999999999999</v>
      </c>
    </row>
    <row r="8289" spans="1:4">
      <c r="A8289" t="str">
        <f>"84895-AU310"</f>
        <v>84895-AU310</v>
      </c>
      <c r="B8289" t="str">
        <f>"EMBLEM-REAR"</f>
        <v>EMBLEM-REAR</v>
      </c>
      <c r="C8289">
        <v>9</v>
      </c>
      <c r="D8289">
        <v>1280.3040000000001</v>
      </c>
    </row>
    <row r="8290" spans="1:4">
      <c r="A8290" t="str">
        <f>"84895-ES50A"</f>
        <v>84895-ES50A</v>
      </c>
      <c r="B8290" t="str">
        <f>"Эмблема задняя"</f>
        <v>Эмблема задняя</v>
      </c>
      <c r="C8290">
        <v>0</v>
      </c>
      <c r="D8290">
        <v>1267.6560000000002</v>
      </c>
    </row>
    <row r="8291" spans="1:4">
      <c r="A8291" t="str">
        <f>"84895-JK80A"</f>
        <v>84895-JK80A</v>
      </c>
      <c r="B8291" t="str">
        <f>"Эмблема задняя"</f>
        <v>Эмблема задняя</v>
      </c>
      <c r="C8291">
        <v>1</v>
      </c>
      <c r="D8291">
        <v>1797.6479999999999</v>
      </c>
    </row>
    <row r="8292" spans="1:4">
      <c r="A8292" t="str">
        <f>"84896-3Y500"</f>
        <v>84896-3Y500</v>
      </c>
      <c r="B8292" t="str">
        <f>"EMBLEM"</f>
        <v>EMBLEM</v>
      </c>
      <c r="C8292">
        <v>2</v>
      </c>
      <c r="D8292">
        <v>1039.992</v>
      </c>
    </row>
    <row r="8293" spans="1:4">
      <c r="A8293" t="str">
        <f>"84896-3Y501"</f>
        <v>84896-3Y501</v>
      </c>
      <c r="B8293" t="str">
        <f>"EMBLEM"</f>
        <v>EMBLEM</v>
      </c>
      <c r="C8293">
        <v>2</v>
      </c>
      <c r="D8293">
        <v>750.72</v>
      </c>
    </row>
    <row r="8294" spans="1:4">
      <c r="A8294" t="str">
        <f>"84896-95F0F"</f>
        <v>84896-95F0F</v>
      </c>
      <c r="B8294" t="str">
        <f t="shared" ref="B8294:B8299" si="162">"Эмблема задняя"</f>
        <v>Эмблема задняя</v>
      </c>
      <c r="C8294">
        <v>20</v>
      </c>
      <c r="D8294">
        <v>926.976</v>
      </c>
    </row>
    <row r="8295" spans="1:4">
      <c r="A8295" t="str">
        <f>"84896-95F0G"</f>
        <v>84896-95F0G</v>
      </c>
      <c r="B8295" t="str">
        <f t="shared" si="162"/>
        <v>Эмблема задняя</v>
      </c>
      <c r="C8295">
        <v>21</v>
      </c>
      <c r="D8295">
        <v>1393.32</v>
      </c>
    </row>
    <row r="8296" spans="1:4">
      <c r="A8296" t="str">
        <f>"84896-95F0H"</f>
        <v>84896-95F0H</v>
      </c>
      <c r="B8296" t="str">
        <f t="shared" si="162"/>
        <v>Эмблема задняя</v>
      </c>
      <c r="C8296">
        <v>23</v>
      </c>
      <c r="D8296">
        <v>1104.4559999999999</v>
      </c>
    </row>
    <row r="8297" spans="1:4">
      <c r="A8297" t="str">
        <f>"84896-9Y900"</f>
        <v>84896-9Y900</v>
      </c>
      <c r="B8297" t="str">
        <f t="shared" si="162"/>
        <v>Эмблема задняя</v>
      </c>
      <c r="C8297">
        <v>2</v>
      </c>
      <c r="D8297">
        <v>1140.3599999999999</v>
      </c>
    </row>
    <row r="8298" spans="1:4">
      <c r="A8298" t="str">
        <f>"84896-9Y902"</f>
        <v>84896-9Y902</v>
      </c>
      <c r="B8298" t="str">
        <f t="shared" si="162"/>
        <v>Эмблема задняя</v>
      </c>
      <c r="C8298">
        <v>7</v>
      </c>
      <c r="D8298">
        <v>1015.5119999999999</v>
      </c>
    </row>
    <row r="8299" spans="1:4">
      <c r="A8299" t="str">
        <f>"84896-9Y903"</f>
        <v>84896-9Y903</v>
      </c>
      <c r="B8299" t="str">
        <f t="shared" si="162"/>
        <v>Эмблема задняя</v>
      </c>
      <c r="C8299">
        <v>6</v>
      </c>
      <c r="D8299">
        <v>1172.5919999999999</v>
      </c>
    </row>
    <row r="8300" spans="1:4">
      <c r="A8300" t="str">
        <f>"84896-EQ300"</f>
        <v>84896-EQ300</v>
      </c>
      <c r="B8300" t="str">
        <f>"EMBLEM"</f>
        <v>EMBLEM</v>
      </c>
      <c r="C8300">
        <v>0</v>
      </c>
      <c r="D8300">
        <v>735.21599999999989</v>
      </c>
    </row>
    <row r="8301" spans="1:4">
      <c r="A8301" t="str">
        <f>"84896-JG01A"</f>
        <v>84896-JG01A</v>
      </c>
      <c r="B8301" t="str">
        <f>"Эмблема задняя"</f>
        <v>Эмблема задняя</v>
      </c>
      <c r="C8301">
        <v>6</v>
      </c>
      <c r="D8301">
        <v>871.89600000000007</v>
      </c>
    </row>
    <row r="8302" spans="1:4">
      <c r="A8302" t="str">
        <f>"84896-JN04A"</f>
        <v>84896-JN04A</v>
      </c>
      <c r="B8302" t="str">
        <f>"Эмблема задняя"</f>
        <v>Эмблема задняя</v>
      </c>
      <c r="C8302">
        <v>2</v>
      </c>
      <c r="D8302">
        <v>856.39199999999994</v>
      </c>
    </row>
    <row r="8303" spans="1:4">
      <c r="A8303" t="str">
        <f>"84896-JN05B"</f>
        <v>84896-JN05B</v>
      </c>
      <c r="B8303" t="str">
        <f>"Эмблема задняя"</f>
        <v>Эмблема задняя</v>
      </c>
      <c r="C8303">
        <v>0</v>
      </c>
      <c r="D8303">
        <v>1139.5439999999999</v>
      </c>
    </row>
    <row r="8304" spans="1:4">
      <c r="A8304" t="str">
        <f>"84896-JN05C"</f>
        <v>84896-JN05C</v>
      </c>
      <c r="B8304" t="str">
        <f>"Эмблема задняя"</f>
        <v>Эмблема задняя</v>
      </c>
      <c r="C8304">
        <v>29</v>
      </c>
      <c r="D8304">
        <v>1144.0319999999999</v>
      </c>
    </row>
    <row r="8305" spans="1:4">
      <c r="A8305" t="str">
        <f>"84896-JN05E"</f>
        <v>84896-JN05E</v>
      </c>
      <c r="B8305" t="str">
        <f>"Эмблема задняя"</f>
        <v>Эмблема задняя</v>
      </c>
      <c r="C8305">
        <v>0</v>
      </c>
      <c r="D8305">
        <v>1068.144</v>
      </c>
    </row>
    <row r="8306" spans="1:4">
      <c r="A8306" t="str">
        <f>"84914-VB000"</f>
        <v>84914-VB000</v>
      </c>
      <c r="B8306" t="str">
        <f>"PLATE-KICKING T"</f>
        <v>PLATE-KICKING T</v>
      </c>
      <c r="C8306">
        <v>3</v>
      </c>
      <c r="D8306">
        <v>1035.912</v>
      </c>
    </row>
    <row r="8307" spans="1:4">
      <c r="A8307" t="str">
        <f>"84920-4M500"</f>
        <v>84920-4M500</v>
      </c>
      <c r="B8307" t="str">
        <f>"FNISHER-TRUNK"</f>
        <v>FNISHER-TRUNK</v>
      </c>
      <c r="C8307">
        <v>2</v>
      </c>
      <c r="D8307">
        <v>1919.2319999999997</v>
      </c>
    </row>
    <row r="8308" spans="1:4">
      <c r="A8308" t="str">
        <f>"84920-9Y000"</f>
        <v>84920-9Y000</v>
      </c>
      <c r="B8308" t="str">
        <f>"Обшивка багажного от"</f>
        <v>Обшивка багажного от</v>
      </c>
      <c r="C8308">
        <v>6</v>
      </c>
      <c r="D8308">
        <v>1549.992</v>
      </c>
    </row>
    <row r="8309" spans="1:4">
      <c r="A8309" t="str">
        <f>"84920-JN20A"</f>
        <v>84920-JN20A</v>
      </c>
      <c r="B8309" t="str">
        <f>"Обшивка багажного от"</f>
        <v>Обшивка багажного от</v>
      </c>
      <c r="C8309">
        <v>0</v>
      </c>
      <c r="D8309">
        <v>2738.4959999999996</v>
      </c>
    </row>
    <row r="8310" spans="1:4">
      <c r="A8310" t="str">
        <f>"84921-AV700"</f>
        <v>84921-AV700</v>
      </c>
      <c r="B8310" t="str">
        <f>"GARNISH-TRUNK,R"</f>
        <v>GARNISH-TRUNK,R</v>
      </c>
      <c r="C8310">
        <v>4</v>
      </c>
      <c r="D8310">
        <v>4423.5360000000001</v>
      </c>
    </row>
    <row r="8311" spans="1:4">
      <c r="A8311" t="str">
        <f>"84936-8H300"</f>
        <v>84936-8H300</v>
      </c>
      <c r="B8311" t="str">
        <f>"HOOK-TONNEAU CO"</f>
        <v>HOOK-TONNEAU CO</v>
      </c>
      <c r="C8311">
        <v>0</v>
      </c>
      <c r="D8311">
        <v>177.88800000000001</v>
      </c>
    </row>
    <row r="8312" spans="1:4">
      <c r="A8312" t="str">
        <f>"84936-8H72A"</f>
        <v>84936-8H72A</v>
      </c>
      <c r="B8312" t="str">
        <f>"HOOK-TONNEAU,RH"</f>
        <v>HOOK-TONNEAU,RH</v>
      </c>
      <c r="C8312">
        <v>9</v>
      </c>
      <c r="D8312">
        <v>170.54400000000001</v>
      </c>
    </row>
    <row r="8313" spans="1:4">
      <c r="A8313" t="str">
        <f>"84937-8H300"</f>
        <v>84937-8H300</v>
      </c>
      <c r="B8313" t="str">
        <f>"HOOK-TONNEAU,LH"</f>
        <v>HOOK-TONNEAU,LH</v>
      </c>
      <c r="C8313">
        <v>9</v>
      </c>
      <c r="D8313">
        <v>168.50399999999999</v>
      </c>
    </row>
    <row r="8314" spans="1:4">
      <c r="A8314" t="str">
        <f>"84937-8H301"</f>
        <v>84937-8H301</v>
      </c>
      <c r="B8314" t="str">
        <f>"HOOK-TONNEAU,LH"</f>
        <v>HOOK-TONNEAU,LH</v>
      </c>
      <c r="C8314">
        <v>4</v>
      </c>
      <c r="D8314">
        <v>175.03200000000001</v>
      </c>
    </row>
    <row r="8315" spans="1:4">
      <c r="A8315" t="str">
        <f>"84937-95F0A"</f>
        <v>84937-95F0A</v>
      </c>
      <c r="B8315" t="str">
        <f>"Крючок багажного отс"</f>
        <v>Крючок багажного отс</v>
      </c>
      <c r="C8315">
        <v>10</v>
      </c>
      <c r="D8315">
        <v>138.31200000000001</v>
      </c>
    </row>
    <row r="8316" spans="1:4">
      <c r="A8316" t="str">
        <f>"84937-CA000"</f>
        <v>84937-CA000</v>
      </c>
      <c r="B8316" t="str">
        <f>"Крючок багажного отс"</f>
        <v>Крючок багажного отс</v>
      </c>
      <c r="C8316">
        <v>4</v>
      </c>
      <c r="D8316">
        <v>164.42400000000001</v>
      </c>
    </row>
    <row r="8317" spans="1:4">
      <c r="A8317" t="str">
        <f>"84937-ED000"</f>
        <v>84937-ED000</v>
      </c>
      <c r="B8317" t="str">
        <f>"Крюк сетки багажника"</f>
        <v>Крюк сетки багажника</v>
      </c>
      <c r="C8317">
        <v>2</v>
      </c>
      <c r="D8317">
        <v>165.648</v>
      </c>
    </row>
    <row r="8318" spans="1:4">
      <c r="A8318" t="str">
        <f>"84947-BM600"</f>
        <v>84947-BM600</v>
      </c>
      <c r="B8318" t="str">
        <f>"КРЫШКА"</f>
        <v>КРЫШКА</v>
      </c>
      <c r="C8318">
        <v>7</v>
      </c>
      <c r="D8318">
        <v>20.399999999999999</v>
      </c>
    </row>
    <row r="8319" spans="1:4">
      <c r="A8319" t="str">
        <f>"84950-JH00A"</f>
        <v>84950-JH00A</v>
      </c>
      <c r="B8319" t="str">
        <f>"Обшивка багажного от"</f>
        <v>Обшивка багажного от</v>
      </c>
      <c r="C8319">
        <v>1</v>
      </c>
      <c r="D8319">
        <v>10731.216</v>
      </c>
    </row>
    <row r="8320" spans="1:4">
      <c r="A8320" t="str">
        <f>"84951-JH00A"</f>
        <v>84951-JH00A</v>
      </c>
      <c r="B8320" t="str">
        <f>"Обшивка багажного от"</f>
        <v>Обшивка багажного от</v>
      </c>
      <c r="C8320">
        <v>0</v>
      </c>
      <c r="D8320">
        <v>10900.128000000001</v>
      </c>
    </row>
    <row r="8321" spans="1:4">
      <c r="A8321" t="str">
        <f>"84953-0W000"</f>
        <v>84953-0W000</v>
      </c>
      <c r="B8321" t="str">
        <f>"CLIP-SPR A"</f>
        <v>CLIP-SPR A</v>
      </c>
      <c r="C8321">
        <v>17</v>
      </c>
      <c r="D8321">
        <v>35.087999999999994</v>
      </c>
    </row>
    <row r="8322" spans="1:4">
      <c r="A8322" t="str">
        <f>"84953-95F0A"</f>
        <v>84953-95F0A</v>
      </c>
      <c r="B8322" t="str">
        <f>"Обшивка багажного от"</f>
        <v>Обшивка багажного от</v>
      </c>
      <c r="C8322">
        <v>3</v>
      </c>
      <c r="D8322">
        <v>3921.6959999999999</v>
      </c>
    </row>
    <row r="8323" spans="1:4">
      <c r="A8323" t="str">
        <f>"84953-BA000"</f>
        <v>84953-BA000</v>
      </c>
      <c r="B8323" t="str">
        <f>"CLIP"</f>
        <v>CLIP</v>
      </c>
      <c r="C8323">
        <v>9</v>
      </c>
      <c r="D8323">
        <v>35.495999999999995</v>
      </c>
    </row>
    <row r="8324" spans="1:4">
      <c r="A8324" t="str">
        <f>"84979-JD00A"</f>
        <v>84979-JD00A</v>
      </c>
      <c r="B8324" t="str">
        <f>"Наполнитель багажног"</f>
        <v>Наполнитель багажног</v>
      </c>
      <c r="C8324">
        <v>0</v>
      </c>
      <c r="D8324">
        <v>1382.3040000000001</v>
      </c>
    </row>
    <row r="8325" spans="1:4">
      <c r="A8325" t="str">
        <f>"84985-JN90A"</f>
        <v>84985-JN90A</v>
      </c>
      <c r="B8325" t="str">
        <f>"Ящик багажника инстр"</f>
        <v>Ящик багажника инстр</v>
      </c>
      <c r="C8325">
        <v>0</v>
      </c>
      <c r="D8325">
        <v>5279.1120000000001</v>
      </c>
    </row>
    <row r="8326" spans="1:4">
      <c r="A8326" t="str">
        <f>"84992-4M500"</f>
        <v>84992-4M500</v>
      </c>
      <c r="B8326" t="str">
        <f>"PLATE-TRUNK,RR"</f>
        <v>PLATE-TRUNK,RR</v>
      </c>
      <c r="C8326">
        <v>1</v>
      </c>
      <c r="D8326">
        <v>991.84799999999996</v>
      </c>
    </row>
    <row r="8327" spans="1:4">
      <c r="A8327" t="str">
        <f>"84992-95F0A"</f>
        <v>84992-95F0A</v>
      </c>
      <c r="B8327" t="str">
        <f>"Обшивка багажного от"</f>
        <v>Обшивка багажного от</v>
      </c>
      <c r="C8327">
        <v>8</v>
      </c>
      <c r="D8327">
        <v>2743.7999999999997</v>
      </c>
    </row>
    <row r="8328" spans="1:4">
      <c r="A8328" t="str">
        <f>"84992-9U02B"</f>
        <v>84992-9U02B</v>
      </c>
      <c r="B8328" t="str">
        <f>"Облицовка багажного "</f>
        <v xml:space="preserve">Облицовка багажного </v>
      </c>
      <c r="C8328">
        <v>0</v>
      </c>
      <c r="D8328">
        <v>2922.9120000000003</v>
      </c>
    </row>
    <row r="8329" spans="1:4">
      <c r="A8329" t="str">
        <f>"84992-9Y000"</f>
        <v>84992-9Y000</v>
      </c>
      <c r="B8329" t="str">
        <f>"Обшивка багажного от"</f>
        <v>Обшивка багажного от</v>
      </c>
      <c r="C8329">
        <v>2</v>
      </c>
      <c r="D8329">
        <v>1747.056</v>
      </c>
    </row>
    <row r="8330" spans="1:4">
      <c r="A8330" t="str">
        <f>"84992-EQ000"</f>
        <v>84992-EQ000</v>
      </c>
      <c r="B8330" t="str">
        <f>"PLATE-LUGGAGE"</f>
        <v>PLATE-LUGGAGE</v>
      </c>
      <c r="C8330">
        <v>6</v>
      </c>
      <c r="D8330">
        <v>1408.4159999999999</v>
      </c>
    </row>
    <row r="8331" spans="1:4">
      <c r="A8331" t="str">
        <f>"84992-JD000"</f>
        <v>84992-JD000</v>
      </c>
      <c r="B8331" t="str">
        <f>"Облицовка багажного "</f>
        <v xml:space="preserve">Облицовка багажного </v>
      </c>
      <c r="C8331">
        <v>0</v>
      </c>
      <c r="D8331">
        <v>1724.2079999999999</v>
      </c>
    </row>
    <row r="8332" spans="1:4">
      <c r="A8332" t="str">
        <f>"84992-JD00A"</f>
        <v>84992-JD00A</v>
      </c>
      <c r="B8332" t="str">
        <f>"Облицовка багажного "</f>
        <v xml:space="preserve">Облицовка багажного </v>
      </c>
      <c r="C8332">
        <v>13</v>
      </c>
      <c r="D8332">
        <v>1917.6</v>
      </c>
    </row>
    <row r="8333" spans="1:4">
      <c r="A8333" t="str">
        <f>"84992-JG00A"</f>
        <v>84992-JG00A</v>
      </c>
      <c r="B8333" t="str">
        <f>"Облицовка багажного "</f>
        <v xml:space="preserve">Облицовка багажного </v>
      </c>
      <c r="C8333">
        <v>4</v>
      </c>
      <c r="D8333">
        <v>2456.16</v>
      </c>
    </row>
    <row r="8334" spans="1:4">
      <c r="A8334" t="str">
        <f>"84992-JG40A"</f>
        <v>84992-JG40A</v>
      </c>
      <c r="B8334" t="str">
        <f>"Облицовка багажного "</f>
        <v xml:space="preserve">Облицовка багажного </v>
      </c>
      <c r="C8334">
        <v>5</v>
      </c>
      <c r="D8334">
        <v>6933.5519999999997</v>
      </c>
    </row>
    <row r="8335" spans="1:4">
      <c r="A8335" t="str">
        <f>"84994-EN001"</f>
        <v>84994-EN001</v>
      </c>
      <c r="B8335" t="str">
        <f>"Накладка порога"</f>
        <v>Накладка порога</v>
      </c>
      <c r="C8335">
        <v>0</v>
      </c>
      <c r="D8335">
        <v>57.12</v>
      </c>
    </row>
    <row r="8336" spans="1:4">
      <c r="A8336" t="str">
        <f>"84995-3J100"</f>
        <v>84995-3J100</v>
      </c>
      <c r="B8336" t="str">
        <f>"CLIP-TRIM"</f>
        <v>CLIP-TRIM</v>
      </c>
      <c r="C8336">
        <v>0</v>
      </c>
      <c r="D8336">
        <v>26.52</v>
      </c>
    </row>
    <row r="8337" spans="1:4">
      <c r="A8337" t="str">
        <f>"84996-AV701"</f>
        <v>84996-AV701</v>
      </c>
      <c r="B8337" t="str">
        <f>"MASK-LUGGAGE FI"</f>
        <v>MASK-LUGGAGE FI</v>
      </c>
      <c r="C8337">
        <v>4</v>
      </c>
      <c r="D8337">
        <v>208.488</v>
      </c>
    </row>
    <row r="8338" spans="1:4">
      <c r="A8338" t="str">
        <f>"849A9-JG00A"</f>
        <v>849A9-JG00A</v>
      </c>
      <c r="B8338" t="str">
        <f>"Кожух ящика багажног"</f>
        <v>Кожух ящика багажног</v>
      </c>
      <c r="C8338">
        <v>5</v>
      </c>
      <c r="D8338">
        <v>6540.6480000000001</v>
      </c>
    </row>
    <row r="8339" spans="1:4">
      <c r="A8339" t="str">
        <f>"85010-VD200"</f>
        <v>85010-VD200</v>
      </c>
      <c r="B8339" t="str">
        <f>"REINFORCE COMPL"</f>
        <v>REINFORCE COMPL</v>
      </c>
      <c r="C8339">
        <v>1</v>
      </c>
      <c r="D8339">
        <v>7869.5039999999999</v>
      </c>
    </row>
    <row r="8340" spans="1:4">
      <c r="A8340" t="str">
        <f>"85018-1LA0H"</f>
        <v>85018-1LA0H</v>
      </c>
      <c r="B8340" t="str">
        <f>"Кожух бампера"</f>
        <v>Кожух бампера</v>
      </c>
      <c r="C8340">
        <v>1</v>
      </c>
      <c r="D8340">
        <v>2397</v>
      </c>
    </row>
    <row r="8341" spans="1:4">
      <c r="A8341" t="str">
        <f>"85022-0N825"</f>
        <v>85022-0N825</v>
      </c>
      <c r="B8341" t="str">
        <f>"BUMPER SET-RR"</f>
        <v>BUMPER SET-RR</v>
      </c>
      <c r="C8341">
        <v>1</v>
      </c>
      <c r="D8341">
        <v>4820.5199999999995</v>
      </c>
    </row>
    <row r="8342" spans="1:4">
      <c r="A8342" t="str">
        <f>"85022-1AN0H"</f>
        <v>85022-1AN0H</v>
      </c>
      <c r="B8342" t="str">
        <f>"Бампер задний"</f>
        <v>Бампер задний</v>
      </c>
      <c r="C8342">
        <v>0</v>
      </c>
      <c r="D8342">
        <v>15821.423999999999</v>
      </c>
    </row>
    <row r="8343" spans="1:4">
      <c r="A8343" t="str">
        <f>"85022-1BA3H"</f>
        <v>85022-1BA3H</v>
      </c>
      <c r="B8343" t="str">
        <f>"Бампер задний"</f>
        <v>Бампер задний</v>
      </c>
      <c r="C8343">
        <v>0</v>
      </c>
      <c r="D8343">
        <v>13304.472</v>
      </c>
    </row>
    <row r="8344" spans="1:4">
      <c r="A8344" t="str">
        <f>"85022-1CJ0H"</f>
        <v>85022-1CJ0H</v>
      </c>
      <c r="B8344" t="str">
        <f>"Бампер задний"</f>
        <v>Бампер задний</v>
      </c>
      <c r="C8344">
        <v>3</v>
      </c>
      <c r="D8344">
        <v>17929.151999999998</v>
      </c>
    </row>
    <row r="8345" spans="1:4">
      <c r="A8345" t="str">
        <f>"85022-1LA2H"</f>
        <v>85022-1LA2H</v>
      </c>
      <c r="B8345" t="str">
        <f>"FASCIA-REAR BUM"</f>
        <v>FASCIA-REAR BUM</v>
      </c>
      <c r="C8345">
        <v>0</v>
      </c>
      <c r="D8345">
        <v>15237.983999999999</v>
      </c>
    </row>
    <row r="8346" spans="1:4">
      <c r="A8346" t="str">
        <f>"85022-1LB4H"</f>
        <v>85022-1LB4H</v>
      </c>
      <c r="B8346" t="str">
        <f>"Бампер задний"</f>
        <v>Бампер задний</v>
      </c>
      <c r="C8346">
        <v>1</v>
      </c>
      <c r="D8346">
        <v>11355.455999999998</v>
      </c>
    </row>
    <row r="8347" spans="1:4">
      <c r="A8347" t="str">
        <f>"85022-7S620"</f>
        <v>85022-7S620</v>
      </c>
      <c r="B8347" t="str">
        <f>"Бампер задний"</f>
        <v>Бампер задний</v>
      </c>
      <c r="C8347">
        <v>6</v>
      </c>
      <c r="D8347">
        <v>11313.84</v>
      </c>
    </row>
    <row r="8348" spans="1:4">
      <c r="A8348" t="str">
        <f>"85022-95F0B"</f>
        <v>85022-95F0B</v>
      </c>
      <c r="B8348" t="str">
        <f>"Бампер задний"</f>
        <v>Бампер задний</v>
      </c>
      <c r="C8348">
        <v>5</v>
      </c>
      <c r="D8348">
        <v>7326.4560000000001</v>
      </c>
    </row>
    <row r="8349" spans="1:4">
      <c r="A8349" t="str">
        <f>"85022-95F0C"</f>
        <v>85022-95F0C</v>
      </c>
      <c r="B8349" t="str">
        <f>"Бампер задний"</f>
        <v>Бампер задний</v>
      </c>
      <c r="C8349">
        <v>4</v>
      </c>
      <c r="D8349">
        <v>6509.2319999999991</v>
      </c>
    </row>
    <row r="8350" spans="1:4">
      <c r="A8350" t="str">
        <f>"85022-9F500"</f>
        <v>85022-9F500</v>
      </c>
      <c r="B8350" t="str">
        <f>"FASCIA KIT-REAR"</f>
        <v>FASCIA KIT-REAR</v>
      </c>
      <c r="C8350">
        <v>1</v>
      </c>
      <c r="D8350">
        <v>7197.9359999999997</v>
      </c>
    </row>
    <row r="8351" spans="1:4">
      <c r="A8351" t="str">
        <f>"85022-9U30H"</f>
        <v>85022-9U30H</v>
      </c>
      <c r="B8351" t="str">
        <f>"Бампер задний"</f>
        <v>Бампер задний</v>
      </c>
      <c r="C8351">
        <v>1</v>
      </c>
      <c r="D8351">
        <v>3647.9279999999999</v>
      </c>
    </row>
    <row r="8352" spans="1:4">
      <c r="A8352" t="str">
        <f>"85022-AU340"</f>
        <v>85022-AU340</v>
      </c>
      <c r="B8352" t="str">
        <f>"FASCIA KIT-REAR"</f>
        <v>FASCIA KIT-REAR</v>
      </c>
      <c r="C8352">
        <v>2</v>
      </c>
      <c r="D8352">
        <v>6080.8319999999994</v>
      </c>
    </row>
    <row r="8353" spans="1:4">
      <c r="A8353" t="str">
        <f>"85022-AX640"</f>
        <v>85022-AX640</v>
      </c>
      <c r="B8353" t="str">
        <f>"FASCIA-REARBUMP"</f>
        <v>FASCIA-REARBUMP</v>
      </c>
      <c r="C8353">
        <v>2</v>
      </c>
      <c r="D8353">
        <v>4365.192</v>
      </c>
    </row>
    <row r="8354" spans="1:4">
      <c r="A8354" t="str">
        <f>"85022-BC640"</f>
        <v>85022-BC640</v>
      </c>
      <c r="B8354" t="str">
        <f>"Бампер задний"</f>
        <v>Бампер задний</v>
      </c>
      <c r="C8354">
        <v>2</v>
      </c>
      <c r="D8354">
        <v>4365.192</v>
      </c>
    </row>
    <row r="8355" spans="1:4">
      <c r="A8355" t="str">
        <f>"85022-BG10H"</f>
        <v>85022-BG10H</v>
      </c>
      <c r="B8355" t="str">
        <f>"Бампер задний"</f>
        <v>Бампер задний</v>
      </c>
      <c r="C8355">
        <v>1</v>
      </c>
      <c r="D8355">
        <v>4370.0879999999997</v>
      </c>
    </row>
    <row r="8356" spans="1:4">
      <c r="A8356" t="str">
        <f>"85022-BN100"</f>
        <v>85022-BN100</v>
      </c>
      <c r="B8356" t="str">
        <f>"FASCIA KIT-REAR"</f>
        <v>FASCIA KIT-REAR</v>
      </c>
      <c r="C8356">
        <v>0</v>
      </c>
      <c r="D8356">
        <v>4534.5119999999997</v>
      </c>
    </row>
    <row r="8357" spans="1:4">
      <c r="A8357" t="str">
        <f>"85022-BN700"</f>
        <v>85022-BN700</v>
      </c>
      <c r="B8357" t="str">
        <f>"FASCIA-REARBUMP"</f>
        <v>FASCIA-REARBUMP</v>
      </c>
      <c r="C8357">
        <v>4</v>
      </c>
      <c r="D8357">
        <v>4123.2479999999996</v>
      </c>
    </row>
    <row r="8358" spans="1:4">
      <c r="A8358" t="str">
        <f>"85022-BN800"</f>
        <v>85022-BN800</v>
      </c>
      <c r="B8358" t="str">
        <f>"FASCIA-REARBUMP"</f>
        <v>FASCIA-REARBUMP</v>
      </c>
      <c r="C8358">
        <v>2</v>
      </c>
      <c r="D8358">
        <v>4123.2479999999996</v>
      </c>
    </row>
    <row r="8359" spans="1:4">
      <c r="A8359" t="str">
        <f>"85022-BR00H"</f>
        <v>85022-BR00H</v>
      </c>
      <c r="B8359" t="str">
        <f t="shared" ref="B8359:B8368" si="163">"Бампер задний"</f>
        <v>Бампер задний</v>
      </c>
      <c r="C8359">
        <v>3</v>
      </c>
      <c r="D8359">
        <v>6080.8319999999994</v>
      </c>
    </row>
    <row r="8360" spans="1:4">
      <c r="A8360" t="str">
        <f>"85022-BR10H"</f>
        <v>85022-BR10H</v>
      </c>
      <c r="B8360" t="str">
        <f t="shared" si="163"/>
        <v>Бампер задний</v>
      </c>
      <c r="C8360">
        <v>2</v>
      </c>
      <c r="D8360">
        <v>6080.8319999999994</v>
      </c>
    </row>
    <row r="8361" spans="1:4">
      <c r="A8361" t="str">
        <f>"85022-BR20H"</f>
        <v>85022-BR20H</v>
      </c>
      <c r="B8361" t="str">
        <f t="shared" si="163"/>
        <v>Бампер задний</v>
      </c>
      <c r="C8361">
        <v>2</v>
      </c>
      <c r="D8361">
        <v>6080.8319999999994</v>
      </c>
    </row>
    <row r="8362" spans="1:4">
      <c r="A8362" t="str">
        <f>"85022-EJ91J"</f>
        <v>85022-EJ91J</v>
      </c>
      <c r="B8362" t="str">
        <f t="shared" si="163"/>
        <v>Бампер задний</v>
      </c>
      <c r="C8362">
        <v>0</v>
      </c>
      <c r="D8362">
        <v>16407.311999999998</v>
      </c>
    </row>
    <row r="8363" spans="1:4">
      <c r="A8363" t="str">
        <f>"85022-EM00J"</f>
        <v>85022-EM00J</v>
      </c>
      <c r="B8363" t="str">
        <f t="shared" si="163"/>
        <v>Бампер задний</v>
      </c>
      <c r="C8363">
        <v>2</v>
      </c>
      <c r="D8363">
        <v>7410.0959999999995</v>
      </c>
    </row>
    <row r="8364" spans="1:4">
      <c r="A8364" t="str">
        <f>"85022-EM10J"</f>
        <v>85022-EM10J</v>
      </c>
      <c r="B8364" t="str">
        <f t="shared" si="163"/>
        <v>Бампер задний</v>
      </c>
      <c r="C8364">
        <v>1</v>
      </c>
      <c r="D8364">
        <v>8106.1439999999993</v>
      </c>
    </row>
    <row r="8365" spans="1:4">
      <c r="A8365" t="str">
        <f>"85022-JG04H"</f>
        <v>85022-JG04H</v>
      </c>
      <c r="B8365" t="str">
        <f t="shared" si="163"/>
        <v>Бампер задний</v>
      </c>
      <c r="C8365">
        <v>0</v>
      </c>
      <c r="D8365">
        <v>9887.4719999999998</v>
      </c>
    </row>
    <row r="8366" spans="1:4">
      <c r="A8366" t="str">
        <f>"85022-JK80H"</f>
        <v>85022-JK80H</v>
      </c>
      <c r="B8366" t="str">
        <f t="shared" si="163"/>
        <v>Бампер задний</v>
      </c>
      <c r="C8366">
        <v>1</v>
      </c>
      <c r="D8366">
        <v>12769.175999999999</v>
      </c>
    </row>
    <row r="8367" spans="1:4">
      <c r="A8367" t="str">
        <f>"85022-JN90H"</f>
        <v>85022-JN90H</v>
      </c>
      <c r="B8367" t="str">
        <f t="shared" si="163"/>
        <v>Бампер задний</v>
      </c>
      <c r="C8367">
        <v>1</v>
      </c>
      <c r="D8367">
        <v>11511.312</v>
      </c>
    </row>
    <row r="8368" spans="1:4">
      <c r="A8368" t="str">
        <f>"85022-JU40H"</f>
        <v>85022-JU40H</v>
      </c>
      <c r="B8368" t="str">
        <f t="shared" si="163"/>
        <v>Бампер задний</v>
      </c>
      <c r="C8368">
        <v>2</v>
      </c>
      <c r="D8368">
        <v>12769.175999999999</v>
      </c>
    </row>
    <row r="8369" spans="1:4">
      <c r="A8369" t="str">
        <f>"85024-VC300"</f>
        <v>85024-VC300</v>
      </c>
      <c r="B8369" t="str">
        <f>"FASCIA-REAR BUM"</f>
        <v>FASCIA-REAR BUM</v>
      </c>
      <c r="C8369">
        <v>3</v>
      </c>
      <c r="D8369">
        <v>5932.3200000000006</v>
      </c>
    </row>
    <row r="8370" spans="1:4">
      <c r="A8370" t="str">
        <f>"85030-CG000"</f>
        <v>85030-CG000</v>
      </c>
      <c r="B8370" t="str">
        <f>"REINF.BUMPER"</f>
        <v>REINF.BUMPER</v>
      </c>
      <c r="C8370">
        <v>2</v>
      </c>
      <c r="D8370">
        <v>5278.7039999999997</v>
      </c>
    </row>
    <row r="8371" spans="1:4">
      <c r="A8371" t="str">
        <f>"85030-JN20A"</f>
        <v>85030-JN20A</v>
      </c>
      <c r="B8371" t="str">
        <f>"Усилитель заднего ба"</f>
        <v>Усилитель заднего ба</v>
      </c>
      <c r="C8371">
        <v>7</v>
      </c>
      <c r="D8371">
        <v>4042.4639999999995</v>
      </c>
    </row>
    <row r="8372" spans="1:4">
      <c r="A8372" t="str">
        <f>"85032-2Y90A"</f>
        <v>85032-2Y90A</v>
      </c>
      <c r="B8372" t="str">
        <f>"Усилитель заднего ба"</f>
        <v>Усилитель заднего ба</v>
      </c>
      <c r="C8372">
        <v>1</v>
      </c>
      <c r="D8372">
        <v>6547.5839999999998</v>
      </c>
    </row>
    <row r="8373" spans="1:4">
      <c r="A8373" t="str">
        <f>"85032-9Y000"</f>
        <v>85032-9Y000</v>
      </c>
      <c r="B8373" t="str">
        <f>"Усилитель заднего ба"</f>
        <v>Усилитель заднего ба</v>
      </c>
      <c r="C8373">
        <v>4</v>
      </c>
      <c r="D8373">
        <v>3634.056</v>
      </c>
    </row>
    <row r="8374" spans="1:4">
      <c r="A8374" t="str">
        <f>"85032-JG00A"</f>
        <v>85032-JG00A</v>
      </c>
      <c r="B8374" t="str">
        <f>"Кронштейн заднего ба"</f>
        <v>Кронштейн заднего ба</v>
      </c>
      <c r="C8374">
        <v>4</v>
      </c>
      <c r="D8374">
        <v>4901.7120000000004</v>
      </c>
    </row>
    <row r="8375" spans="1:4">
      <c r="A8375" t="str">
        <f>"85032-JK000"</f>
        <v>85032-JK000</v>
      </c>
      <c r="B8375" t="str">
        <f>"Усилитель заднего ба"</f>
        <v>Усилитель заднего ба</v>
      </c>
      <c r="C8375">
        <v>3</v>
      </c>
      <c r="D8375">
        <v>6256.6799999999994</v>
      </c>
    </row>
    <row r="8376" spans="1:4">
      <c r="A8376" t="str">
        <f>"85040-2Y000"</f>
        <v>85040-2Y000</v>
      </c>
      <c r="B8376" t="str">
        <f>"BRACKET-REAR BU"</f>
        <v>BRACKET-REAR BU</v>
      </c>
      <c r="C8376">
        <v>1</v>
      </c>
      <c r="D8376">
        <v>441.048</v>
      </c>
    </row>
    <row r="8377" spans="1:4">
      <c r="A8377" t="str">
        <f>"85045-VD200"</f>
        <v>85045-VD200</v>
      </c>
      <c r="B8377" t="str">
        <f>"BRKT-BMPR RR,LH"</f>
        <v>BRKT-BMPR RR,LH</v>
      </c>
      <c r="C8377">
        <v>3</v>
      </c>
      <c r="D8377">
        <v>452.06400000000002</v>
      </c>
    </row>
    <row r="8378" spans="1:4">
      <c r="A8378" t="str">
        <f>"85047-CG000"</f>
        <v>85047-CG000</v>
      </c>
      <c r="B8378" t="str">
        <f>"BRACK.RR.BUMPER"</f>
        <v>BRACK.RR.BUMPER</v>
      </c>
      <c r="C8378">
        <v>5</v>
      </c>
      <c r="D8378">
        <v>426.36</v>
      </c>
    </row>
    <row r="8379" spans="1:4">
      <c r="A8379" t="str">
        <f>"85064-EB000"</f>
        <v>85064-EB000</v>
      </c>
      <c r="B8379" t="str">
        <f>"Накладка порога задн"</f>
        <v>Накладка порога задн</v>
      </c>
      <c r="C8379">
        <v>5</v>
      </c>
      <c r="D8379">
        <v>4944.1439999999993</v>
      </c>
    </row>
    <row r="8380" spans="1:4">
      <c r="A8380" t="str">
        <f>"85064-VK000"</f>
        <v>85064-VK000</v>
      </c>
      <c r="B8380" t="str">
        <f>"FINISHER-REAR S"</f>
        <v>FINISHER-REAR S</v>
      </c>
      <c r="C8380">
        <v>3</v>
      </c>
      <c r="D8380">
        <v>4745.8559999999998</v>
      </c>
    </row>
    <row r="8381" spans="1:4">
      <c r="A8381" t="str">
        <f>"85065-EB000"</f>
        <v>85065-EB000</v>
      </c>
      <c r="B8381" t="str">
        <f>"Накладка порога задн"</f>
        <v>Накладка порога задн</v>
      </c>
      <c r="C8381">
        <v>2</v>
      </c>
      <c r="D8381">
        <v>3356.2080000000001</v>
      </c>
    </row>
    <row r="8382" spans="1:4">
      <c r="A8382" t="str">
        <f>"85066-8H300"</f>
        <v>85066-8H300</v>
      </c>
      <c r="B8382" t="str">
        <f>"RUBBER-BUMPER"</f>
        <v>RUBBER-BUMPER</v>
      </c>
      <c r="C8382">
        <v>0</v>
      </c>
      <c r="D8382">
        <v>1990.6319999999998</v>
      </c>
    </row>
    <row r="8383" spans="1:4">
      <c r="A8383" t="str">
        <f>"85066-AX610"</f>
        <v>85066-AX610</v>
      </c>
      <c r="B8383" t="str">
        <f>"Кронштейн бампера пл"</f>
        <v>Кронштейн бампера пл</v>
      </c>
      <c r="C8383">
        <v>5</v>
      </c>
      <c r="D8383">
        <v>597.72</v>
      </c>
    </row>
    <row r="8384" spans="1:4">
      <c r="A8384" t="str">
        <f>"85066-EQ000"</f>
        <v>85066-EQ000</v>
      </c>
      <c r="B8384" t="str">
        <f>"RUBBER-BUMPER"</f>
        <v>RUBBER-BUMPER</v>
      </c>
      <c r="C8384">
        <v>5</v>
      </c>
      <c r="D8384">
        <v>1975.9439999999997</v>
      </c>
    </row>
    <row r="8385" spans="1:4">
      <c r="A8385" t="str">
        <f>"85067-AX610"</f>
        <v>85067-AX610</v>
      </c>
      <c r="B8385" t="str">
        <f>"Кронштейн бампера пл"</f>
        <v>Кронштейн бампера пл</v>
      </c>
      <c r="C8385">
        <v>14</v>
      </c>
      <c r="D8385">
        <v>988.58400000000006</v>
      </c>
    </row>
    <row r="8386" spans="1:4">
      <c r="A8386" t="str">
        <f>"85071-7S600"</f>
        <v>85071-7S600</v>
      </c>
      <c r="B8386" t="str">
        <f>"FINISHER-RR BUM"</f>
        <v>FINISHER-RR BUM</v>
      </c>
      <c r="C8386">
        <v>1</v>
      </c>
      <c r="D8386">
        <v>7895.2079999999996</v>
      </c>
    </row>
    <row r="8387" spans="1:4">
      <c r="A8387" t="str">
        <f>"85071-9F500"</f>
        <v>85071-9F500</v>
      </c>
      <c r="B8387" t="str">
        <f>"FINISHER-REAR B"</f>
        <v>FINISHER-REAR B</v>
      </c>
      <c r="C8387">
        <v>10</v>
      </c>
      <c r="D8387">
        <v>428.80799999999994</v>
      </c>
    </row>
    <row r="8388" spans="1:4">
      <c r="A8388" t="str">
        <f>"85071-BN700"</f>
        <v>85071-BN700</v>
      </c>
      <c r="B8388" t="str">
        <f>"FINISHER-REAR B"</f>
        <v>FINISHER-REAR B</v>
      </c>
      <c r="C8388">
        <v>1</v>
      </c>
      <c r="D8388">
        <v>516.52800000000002</v>
      </c>
    </row>
    <row r="8389" spans="1:4">
      <c r="A8389" t="str">
        <f>"85071-BN800"</f>
        <v>85071-BN800</v>
      </c>
      <c r="B8389" t="str">
        <f>"FINISHER-REAR B"</f>
        <v>FINISHER-REAR B</v>
      </c>
      <c r="C8389">
        <v>13</v>
      </c>
      <c r="D8389">
        <v>1023.6719999999999</v>
      </c>
    </row>
    <row r="8390" spans="1:4">
      <c r="A8390" t="str">
        <f>"85071-BR00A"</f>
        <v>85071-BR00A</v>
      </c>
      <c r="B8390" t="str">
        <f>"Заглушка заднего бам"</f>
        <v>Заглушка заднего бам</v>
      </c>
      <c r="C8390">
        <v>0</v>
      </c>
      <c r="D8390">
        <v>206.04</v>
      </c>
    </row>
    <row r="8391" spans="1:4">
      <c r="A8391" t="str">
        <f>"85071-BR10A"</f>
        <v>85071-BR10A</v>
      </c>
      <c r="B8391" t="str">
        <f>"Заглушка заднего бам"</f>
        <v>Заглушка заднего бам</v>
      </c>
      <c r="C8391">
        <v>2</v>
      </c>
      <c r="D8391">
        <v>219.91199999999998</v>
      </c>
    </row>
    <row r="8392" spans="1:4">
      <c r="A8392" t="str">
        <f>"85071-EB300"</f>
        <v>85071-EB300</v>
      </c>
      <c r="B8392" t="str">
        <f>"FINISHER-REAR B"</f>
        <v>FINISHER-REAR B</v>
      </c>
      <c r="C8392">
        <v>21</v>
      </c>
      <c r="D8392">
        <v>2730.3360000000002</v>
      </c>
    </row>
    <row r="8393" spans="1:4">
      <c r="A8393" t="str">
        <f>"85071-JD01A"</f>
        <v>85071-JD01A</v>
      </c>
      <c r="B8393" t="str">
        <f>"Облицовка заднего ба"</f>
        <v>Облицовка заднего ба</v>
      </c>
      <c r="C8393">
        <v>0</v>
      </c>
      <c r="D8393">
        <v>320.27999999999997</v>
      </c>
    </row>
    <row r="8394" spans="1:4">
      <c r="A8394" t="str">
        <f>"85071-ZQ50A"</f>
        <v>85071-ZQ50A</v>
      </c>
      <c r="B8394" t="str">
        <f>"Заглушка заднего бам"</f>
        <v>Заглушка заднего бам</v>
      </c>
      <c r="C8394">
        <v>1</v>
      </c>
      <c r="D8394">
        <v>6595.3200000000006</v>
      </c>
    </row>
    <row r="8395" spans="1:4">
      <c r="A8395" t="str">
        <f>"85071-ZV50A"</f>
        <v>85071-ZV50A</v>
      </c>
      <c r="B8395" t="str">
        <f>"Облицовка заднего ба"</f>
        <v>Облицовка заднего ба</v>
      </c>
      <c r="C8395">
        <v>1</v>
      </c>
      <c r="D8395">
        <v>7895.2079999999996</v>
      </c>
    </row>
    <row r="8396" spans="1:4">
      <c r="A8396" t="str">
        <f>"85072-3Y100"</f>
        <v>85072-3Y100</v>
      </c>
      <c r="B8396" t="str">
        <f>"S MLDG RR BMPR"</f>
        <v>S MLDG RR BMPR</v>
      </c>
      <c r="C8396">
        <v>5</v>
      </c>
      <c r="D8396">
        <v>2265.2159999999999</v>
      </c>
    </row>
    <row r="8397" spans="1:4">
      <c r="A8397" t="str">
        <f>"85074-4M540"</f>
        <v>85074-4M540</v>
      </c>
      <c r="B8397" t="str">
        <f>"MOULDING-REAR B"</f>
        <v>MOULDING-REAR B</v>
      </c>
      <c r="C8397">
        <v>2</v>
      </c>
      <c r="D8397">
        <v>1332.528</v>
      </c>
    </row>
    <row r="8398" spans="1:4">
      <c r="A8398" t="str">
        <f>"85074-9W70A"</f>
        <v>85074-9W70A</v>
      </c>
      <c r="B8398" t="str">
        <f>"Молдинг заднего бамп"</f>
        <v>Молдинг заднего бамп</v>
      </c>
      <c r="C8398">
        <v>21</v>
      </c>
      <c r="D8398">
        <v>2058.768</v>
      </c>
    </row>
    <row r="8399" spans="1:4">
      <c r="A8399" t="str">
        <f>"85074-EM00A"</f>
        <v>85074-EM00A</v>
      </c>
      <c r="B8399" t="str">
        <f>"Молдинг заднего бамп"</f>
        <v>Молдинг заднего бамп</v>
      </c>
      <c r="C8399">
        <v>2</v>
      </c>
      <c r="D8399">
        <v>1195.0319999999999</v>
      </c>
    </row>
    <row r="8400" spans="1:4">
      <c r="A8400" t="str">
        <f>"85074-EM10A"</f>
        <v>85074-EM10A</v>
      </c>
      <c r="B8400" t="str">
        <f>"Молдинг заднего бамп"</f>
        <v>Молдинг заднего бамп</v>
      </c>
      <c r="C8400">
        <v>7</v>
      </c>
      <c r="D8400">
        <v>1251.7439999999999</v>
      </c>
    </row>
    <row r="8401" spans="1:4">
      <c r="A8401" t="str">
        <f>"85074-JN00A"</f>
        <v>85074-JN00A</v>
      </c>
      <c r="B8401" t="str">
        <f>"Молдинг заднего бамп"</f>
        <v>Молдинг заднего бамп</v>
      </c>
      <c r="C8401">
        <v>10</v>
      </c>
      <c r="D8401">
        <v>1565.088</v>
      </c>
    </row>
    <row r="8402" spans="1:4">
      <c r="A8402" t="str">
        <f>"85074-JN91A"</f>
        <v>85074-JN91A</v>
      </c>
      <c r="B8402" t="str">
        <f>"Молдинг заднего бамп"</f>
        <v>Молдинг заднего бамп</v>
      </c>
      <c r="C8402">
        <v>0</v>
      </c>
      <c r="D8402">
        <v>1923.3119999999999</v>
      </c>
    </row>
    <row r="8403" spans="1:4">
      <c r="A8403" t="str">
        <f>"85075-8M100"</f>
        <v>85075-8M100</v>
      </c>
      <c r="B8403" t="str">
        <f>"MOULDING-REAR B"</f>
        <v>MOULDING-REAR B</v>
      </c>
      <c r="C8403">
        <v>3</v>
      </c>
      <c r="D8403">
        <v>947.37599999999998</v>
      </c>
    </row>
    <row r="8404" spans="1:4">
      <c r="A8404" t="str">
        <f>"85075-9W70A"</f>
        <v>85075-9W70A</v>
      </c>
      <c r="B8404" t="str">
        <f t="shared" ref="B8404:B8410" si="164">"Молдинг заднего бамп"</f>
        <v>Молдинг заднего бамп</v>
      </c>
      <c r="C8404">
        <v>10</v>
      </c>
      <c r="D8404">
        <v>1885.3679999999999</v>
      </c>
    </row>
    <row r="8405" spans="1:4">
      <c r="A8405" t="str">
        <f>"85075-EM00A"</f>
        <v>85075-EM00A</v>
      </c>
      <c r="B8405" t="str">
        <f t="shared" si="164"/>
        <v>Молдинг заднего бамп</v>
      </c>
      <c r="C8405">
        <v>8</v>
      </c>
      <c r="D8405">
        <v>1175.4479999999999</v>
      </c>
    </row>
    <row r="8406" spans="1:4">
      <c r="A8406" t="str">
        <f>"85075-EM10A"</f>
        <v>85075-EM10A</v>
      </c>
      <c r="B8406" t="str">
        <f t="shared" si="164"/>
        <v>Молдинг заднего бамп</v>
      </c>
      <c r="C8406">
        <v>8</v>
      </c>
      <c r="D8406">
        <v>1179.1199999999999</v>
      </c>
    </row>
    <row r="8407" spans="1:4">
      <c r="A8407" t="str">
        <f>"85075-JN00A"</f>
        <v>85075-JN00A</v>
      </c>
      <c r="B8407" t="str">
        <f t="shared" si="164"/>
        <v>Молдинг заднего бамп</v>
      </c>
      <c r="C8407">
        <v>6</v>
      </c>
      <c r="D8407">
        <v>1579.7760000000001</v>
      </c>
    </row>
    <row r="8408" spans="1:4">
      <c r="A8408" t="str">
        <f>"85075-JN91A"</f>
        <v>85075-JN91A</v>
      </c>
      <c r="B8408" t="str">
        <f t="shared" si="164"/>
        <v>Молдинг заднего бамп</v>
      </c>
      <c r="C8408">
        <v>0</v>
      </c>
      <c r="D8408">
        <v>1668.7199999999998</v>
      </c>
    </row>
    <row r="8409" spans="1:4">
      <c r="A8409" t="str">
        <f>"85088-JG00A"</f>
        <v>85088-JG00A</v>
      </c>
      <c r="B8409" t="str">
        <f t="shared" si="164"/>
        <v>Молдинг заднего бамп</v>
      </c>
      <c r="C8409">
        <v>7</v>
      </c>
      <c r="D8409">
        <v>1880.88</v>
      </c>
    </row>
    <row r="8410" spans="1:4">
      <c r="A8410" t="str">
        <f>"85089-JG00A"</f>
        <v>85089-JG00A</v>
      </c>
      <c r="B8410" t="str">
        <f t="shared" si="164"/>
        <v>Молдинг заднего бамп</v>
      </c>
      <c r="C8410">
        <v>7</v>
      </c>
      <c r="D8410">
        <v>1832.328</v>
      </c>
    </row>
    <row r="8411" spans="1:4">
      <c r="A8411" t="str">
        <f>"85090-1BA0A"</f>
        <v>85090-1BA0A</v>
      </c>
      <c r="B8411" t="str">
        <f>"Наполнитель бампера "</f>
        <v xml:space="preserve">Наполнитель бампера </v>
      </c>
      <c r="C8411">
        <v>1</v>
      </c>
      <c r="D8411">
        <v>2246.4479999999999</v>
      </c>
    </row>
    <row r="8412" spans="1:4">
      <c r="A8412" t="str">
        <f>"85090-1CA0A"</f>
        <v>85090-1CA0A</v>
      </c>
      <c r="B8412" t="str">
        <f>"Наполнитель бампера "</f>
        <v xml:space="preserve">Наполнитель бампера </v>
      </c>
      <c r="C8412">
        <v>6</v>
      </c>
      <c r="D8412">
        <v>3908.6399999999994</v>
      </c>
    </row>
    <row r="8413" spans="1:4">
      <c r="A8413" t="str">
        <f>"85090-1LB0A"</f>
        <v>85090-1LB0A</v>
      </c>
      <c r="B8413" t="str">
        <f>"Наполнитель бамп"</f>
        <v>Наполнитель бамп</v>
      </c>
      <c r="C8413">
        <v>1</v>
      </c>
      <c r="D8413">
        <v>2499.4079999999999</v>
      </c>
    </row>
    <row r="8414" spans="1:4">
      <c r="A8414" t="str">
        <f>"85090-1LB1A"</f>
        <v>85090-1LB1A</v>
      </c>
      <c r="B8414" t="str">
        <f>"Наполнитель бамп"</f>
        <v>Наполнитель бамп</v>
      </c>
      <c r="C8414">
        <v>1</v>
      </c>
      <c r="D8414">
        <v>206.85599999999999</v>
      </c>
    </row>
    <row r="8415" spans="1:4">
      <c r="A8415" t="str">
        <f>"85090-1LB2A"</f>
        <v>85090-1LB2A</v>
      </c>
      <c r="B8415" t="str">
        <f>"Наполнитель бамп"</f>
        <v>Наполнитель бамп</v>
      </c>
      <c r="C8415">
        <v>1</v>
      </c>
      <c r="D8415">
        <v>206.85599999999999</v>
      </c>
    </row>
    <row r="8416" spans="1:4">
      <c r="A8416" t="str">
        <f>"85090-3Y100"</f>
        <v>85090-3Y100</v>
      </c>
      <c r="B8416" t="str">
        <f>"ENERGY ABSORBER"</f>
        <v>ENERGY ABSORBER</v>
      </c>
      <c r="C8416">
        <v>5</v>
      </c>
      <c r="D8416">
        <v>3812.3519999999999</v>
      </c>
    </row>
    <row r="8417" spans="1:4">
      <c r="A8417" t="str">
        <f>"85090-9U02A"</f>
        <v>85090-9U02A</v>
      </c>
      <c r="B8417" t="str">
        <f>"Наполнитель бампера "</f>
        <v xml:space="preserve">Наполнитель бампера </v>
      </c>
      <c r="C8417">
        <v>15</v>
      </c>
      <c r="D8417">
        <v>3953.5199999999995</v>
      </c>
    </row>
    <row r="8418" spans="1:4">
      <c r="A8418" t="str">
        <f>"85090-9W50A"</f>
        <v>85090-9W50A</v>
      </c>
      <c r="B8418" t="str">
        <f>"Наполнитель бампера "</f>
        <v xml:space="preserve">Наполнитель бампера </v>
      </c>
      <c r="C8418">
        <v>7</v>
      </c>
      <c r="D8418">
        <v>1892.712</v>
      </c>
    </row>
    <row r="8419" spans="1:4">
      <c r="A8419" t="str">
        <f>"85090-CA000"</f>
        <v>85090-CA000</v>
      </c>
      <c r="B8419" t="str">
        <f>"ENERGY ABSORBER"</f>
        <v>ENERGY ABSORBER</v>
      </c>
      <c r="C8419">
        <v>2</v>
      </c>
      <c r="D8419">
        <v>2370.8879999999999</v>
      </c>
    </row>
    <row r="8420" spans="1:4">
      <c r="A8420" t="str">
        <f>"85090-CG000"</f>
        <v>85090-CG000</v>
      </c>
      <c r="B8420" t="str">
        <f>"ENER.ABSORBER"</f>
        <v>ENER.ABSORBER</v>
      </c>
      <c r="C8420">
        <v>1</v>
      </c>
      <c r="D8420">
        <v>4022.88</v>
      </c>
    </row>
    <row r="8421" spans="1:4">
      <c r="A8421" t="str">
        <f>"85090-CZ60A"</f>
        <v>85090-CZ60A</v>
      </c>
      <c r="B8421" t="str">
        <f>"Наполнитель бампера "</f>
        <v xml:space="preserve">Наполнитель бампера </v>
      </c>
      <c r="C8421">
        <v>3</v>
      </c>
      <c r="D8421">
        <v>3771.1439999999998</v>
      </c>
    </row>
    <row r="8422" spans="1:4">
      <c r="A8422" t="str">
        <f>"85090-EM30A"</f>
        <v>85090-EM30A</v>
      </c>
      <c r="B8422" t="str">
        <f>"Наполнитель бампера "</f>
        <v xml:space="preserve">Наполнитель бампера </v>
      </c>
      <c r="C8422">
        <v>2</v>
      </c>
      <c r="D8422">
        <v>443.08800000000002</v>
      </c>
    </row>
    <row r="8423" spans="1:4">
      <c r="A8423" t="str">
        <f>"85090-EQ000"</f>
        <v>85090-EQ000</v>
      </c>
      <c r="B8423" t="str">
        <f>"ENERGY ABSORBER"</f>
        <v>ENERGY ABSORBER</v>
      </c>
      <c r="C8423">
        <v>6</v>
      </c>
      <c r="D8423">
        <v>1006.128</v>
      </c>
    </row>
    <row r="8424" spans="1:4">
      <c r="A8424" t="str">
        <f>"85090-JD00A"</f>
        <v>85090-JD00A</v>
      </c>
      <c r="B8424" t="str">
        <f>"Наполнитель бампера "</f>
        <v xml:space="preserve">Наполнитель бампера </v>
      </c>
      <c r="C8424">
        <v>0</v>
      </c>
      <c r="D8424">
        <v>2026.5359999999998</v>
      </c>
    </row>
    <row r="8425" spans="1:4">
      <c r="A8425" t="str">
        <f>"85090-JN20A"</f>
        <v>85090-JN20A</v>
      </c>
      <c r="B8425" t="str">
        <f>"Наполнитель бампера "</f>
        <v xml:space="preserve">Наполнитель бампера </v>
      </c>
      <c r="C8425">
        <v>0</v>
      </c>
      <c r="D8425">
        <v>1904.136</v>
      </c>
    </row>
    <row r="8426" spans="1:4">
      <c r="A8426" t="str">
        <f>"85092-5X00A"</f>
        <v>85092-5X00A</v>
      </c>
      <c r="B8426" t="str">
        <f>"Наполнитель бампера "</f>
        <v xml:space="preserve">Наполнитель бампера </v>
      </c>
      <c r="C8426">
        <v>0</v>
      </c>
      <c r="D8426">
        <v>5044.92</v>
      </c>
    </row>
    <row r="8427" spans="1:4">
      <c r="A8427" t="str">
        <f>"85092-95F0A"</f>
        <v>85092-95F0A</v>
      </c>
      <c r="B8427" t="str">
        <f>"Наполнитель бампера "</f>
        <v xml:space="preserve">Наполнитель бампера </v>
      </c>
      <c r="C8427">
        <v>5</v>
      </c>
      <c r="D8427">
        <v>1651.992</v>
      </c>
    </row>
    <row r="8428" spans="1:4">
      <c r="A8428" t="str">
        <f>"85092-EB300"</f>
        <v>85092-EB300</v>
      </c>
      <c r="B8428" t="str">
        <f>"ABSORBER-SHOCK,"</f>
        <v>ABSORBER-SHOCK,</v>
      </c>
      <c r="C8428">
        <v>6</v>
      </c>
      <c r="D8428">
        <v>4161.5999999999995</v>
      </c>
    </row>
    <row r="8429" spans="1:4">
      <c r="A8429" t="str">
        <f>"85093-95F0A"</f>
        <v>85093-95F0A</v>
      </c>
      <c r="B8429" t="str">
        <f>"Наполнитель бампера "</f>
        <v xml:space="preserve">Наполнитель бампера </v>
      </c>
      <c r="C8429">
        <v>9</v>
      </c>
      <c r="D8429">
        <v>1654.848</v>
      </c>
    </row>
    <row r="8430" spans="1:4">
      <c r="A8430" t="str">
        <f>"85099-AU300"</f>
        <v>85099-AU300</v>
      </c>
      <c r="B8430" t="str">
        <f>"GROMET"</f>
        <v>GROMET</v>
      </c>
      <c r="C8430">
        <v>3</v>
      </c>
      <c r="D8430">
        <v>43.655999999999999</v>
      </c>
    </row>
    <row r="8431" spans="1:4">
      <c r="A8431" t="str">
        <f>"85202-95F0B"</f>
        <v>85202-95F0B</v>
      </c>
      <c r="B8431" t="str">
        <f>"Кронштейн заднего ба"</f>
        <v>Кронштейн заднего ба</v>
      </c>
      <c r="C8431">
        <v>20</v>
      </c>
      <c r="D8431">
        <v>632.4</v>
      </c>
    </row>
    <row r="8432" spans="1:4">
      <c r="A8432" t="str">
        <f>"85210-1CA0A"</f>
        <v>85210-1CA0A</v>
      </c>
      <c r="B8432" t="str">
        <f>"Кронштейн заднего ба"</f>
        <v>Кронштейн заднего ба</v>
      </c>
      <c r="C8432">
        <v>2</v>
      </c>
      <c r="D8432">
        <v>1459.8239999999998</v>
      </c>
    </row>
    <row r="8433" spans="1:4">
      <c r="A8433" t="str">
        <f>"85210-3Y100"</f>
        <v>85210-3Y100</v>
      </c>
      <c r="B8433" t="str">
        <f>"STAY-RR BUMPER"</f>
        <v>STAY-RR BUMPER</v>
      </c>
      <c r="C8433">
        <v>2</v>
      </c>
      <c r="D8433">
        <v>1322.7359999999999</v>
      </c>
    </row>
    <row r="8434" spans="1:4">
      <c r="A8434" t="str">
        <f>"85210-95F0A"</f>
        <v>85210-95F0A</v>
      </c>
      <c r="B8434" t="str">
        <f t="shared" ref="B8434:B8440" si="165">"Кронштейн заднего ба"</f>
        <v>Кронштейн заднего ба</v>
      </c>
      <c r="C8434">
        <v>3</v>
      </c>
      <c r="D8434">
        <v>548.76</v>
      </c>
    </row>
    <row r="8435" spans="1:4">
      <c r="A8435" t="str">
        <f>"85210-95F0B"</f>
        <v>85210-95F0B</v>
      </c>
      <c r="B8435" t="str">
        <f t="shared" si="165"/>
        <v>Кронштейн заднего ба</v>
      </c>
      <c r="C8435">
        <v>21</v>
      </c>
      <c r="D8435">
        <v>664.63199999999995</v>
      </c>
    </row>
    <row r="8436" spans="1:4">
      <c r="A8436" t="str">
        <f>"85210-9Y000"</f>
        <v>85210-9Y000</v>
      </c>
      <c r="B8436" t="str">
        <f t="shared" si="165"/>
        <v>Кронштейн заднего ба</v>
      </c>
      <c r="C8436">
        <v>8</v>
      </c>
      <c r="D8436">
        <v>1279.896</v>
      </c>
    </row>
    <row r="8437" spans="1:4">
      <c r="A8437" t="str">
        <f>"85210-JG01A"</f>
        <v>85210-JG01A</v>
      </c>
      <c r="B8437" t="str">
        <f t="shared" si="165"/>
        <v>Кронштейн заднего ба</v>
      </c>
      <c r="C8437">
        <v>3</v>
      </c>
      <c r="D8437">
        <v>1163.616</v>
      </c>
    </row>
    <row r="8438" spans="1:4">
      <c r="A8438" t="str">
        <f>"85210-JK000"</f>
        <v>85210-JK000</v>
      </c>
      <c r="B8438" t="str">
        <f t="shared" si="165"/>
        <v>Кронштейн заднего ба</v>
      </c>
      <c r="C8438">
        <v>3</v>
      </c>
      <c r="D8438">
        <v>1680.5519999999999</v>
      </c>
    </row>
    <row r="8439" spans="1:4">
      <c r="A8439" t="str">
        <f>"85211-1CA0A"</f>
        <v>85211-1CA0A</v>
      </c>
      <c r="B8439" t="str">
        <f t="shared" si="165"/>
        <v>Кронштейн заднего ба</v>
      </c>
      <c r="C8439">
        <v>1</v>
      </c>
      <c r="D8439">
        <v>1371.6959999999999</v>
      </c>
    </row>
    <row r="8440" spans="1:4">
      <c r="A8440" t="str">
        <f>"85211-9Y000"</f>
        <v>85211-9Y000</v>
      </c>
      <c r="B8440" t="str">
        <f t="shared" si="165"/>
        <v>Кронштейн заднего ба</v>
      </c>
      <c r="C8440">
        <v>6</v>
      </c>
      <c r="D8440">
        <v>1281.1199999999999</v>
      </c>
    </row>
    <row r="8441" spans="1:4">
      <c r="A8441" t="str">
        <f>"85211-CG000"</f>
        <v>85211-CG000</v>
      </c>
      <c r="B8441" t="str">
        <f>"STAY-RR BUMPER"</f>
        <v>STAY-RR BUMPER</v>
      </c>
      <c r="C8441">
        <v>2</v>
      </c>
      <c r="D8441">
        <v>1311.7199999999998</v>
      </c>
    </row>
    <row r="8442" spans="1:4">
      <c r="A8442" t="str">
        <f>"85211-JG01A"</f>
        <v>85211-JG01A</v>
      </c>
      <c r="B8442" t="str">
        <f>"Кронштейн заднего ба"</f>
        <v>Кронштейн заднего ба</v>
      </c>
      <c r="C8442">
        <v>2</v>
      </c>
      <c r="D8442">
        <v>1290.912</v>
      </c>
    </row>
    <row r="8443" spans="1:4">
      <c r="A8443" t="str">
        <f>"85211-JK000"</f>
        <v>85211-JK000</v>
      </c>
      <c r="B8443" t="str">
        <f>"Кронштейн заднего ба"</f>
        <v>Кронштейн заднего ба</v>
      </c>
      <c r="C8443">
        <v>3</v>
      </c>
      <c r="D8443">
        <v>1664.64</v>
      </c>
    </row>
    <row r="8444" spans="1:4">
      <c r="A8444" t="str">
        <f>"85212-AX630"</f>
        <v>85212-AX630</v>
      </c>
      <c r="B8444" t="str">
        <f>"STAY-REAR BUMPE"</f>
        <v>STAY-REAR BUMPE</v>
      </c>
      <c r="C8444">
        <v>0</v>
      </c>
      <c r="D8444">
        <v>1064.8799999999999</v>
      </c>
    </row>
    <row r="8445" spans="1:4">
      <c r="A8445" t="str">
        <f>"85212-JD00A"</f>
        <v>85212-JD00A</v>
      </c>
      <c r="B8445" t="str">
        <f>"Кронштейн заднего ба"</f>
        <v>Кронштейн заднего ба</v>
      </c>
      <c r="C8445">
        <v>0</v>
      </c>
      <c r="D8445">
        <v>821.30399999999997</v>
      </c>
    </row>
    <row r="8446" spans="1:4">
      <c r="A8446" t="str">
        <f>"85213-8H700"</f>
        <v>85213-8H700</v>
      </c>
      <c r="B8446" t="str">
        <f>"STAY"</f>
        <v>STAY</v>
      </c>
      <c r="C8446">
        <v>1</v>
      </c>
      <c r="D8446">
        <v>639.3359999999999</v>
      </c>
    </row>
    <row r="8447" spans="1:4">
      <c r="A8447" t="str">
        <f>"85213-JD00A"</f>
        <v>85213-JD00A</v>
      </c>
      <c r="B8447" t="str">
        <f>"Кронштейн заднего ба"</f>
        <v>Кронштейн заднего ба</v>
      </c>
      <c r="C8447">
        <v>4</v>
      </c>
      <c r="D8447">
        <v>882.91199999999992</v>
      </c>
    </row>
    <row r="8448" spans="1:4">
      <c r="A8448" t="str">
        <f>"85220-2Y000"</f>
        <v>85220-2Y000</v>
      </c>
      <c r="B8448" t="str">
        <f>"BRACKET-BUMPER"</f>
        <v>BRACKET-BUMPER</v>
      </c>
      <c r="C8448">
        <v>0</v>
      </c>
      <c r="D8448">
        <v>869.04000000000008</v>
      </c>
    </row>
    <row r="8449" spans="1:4">
      <c r="A8449" t="str">
        <f>"85220-9Y000"</f>
        <v>85220-9Y000</v>
      </c>
      <c r="B8449" t="str">
        <f>"Кронштейн заднего ба"</f>
        <v>Кронштейн заднего ба</v>
      </c>
      <c r="C8449">
        <v>7</v>
      </c>
      <c r="D8449">
        <v>556.51199999999994</v>
      </c>
    </row>
    <row r="8450" spans="1:4">
      <c r="A8450" t="str">
        <f>"85220-AU300"</f>
        <v>85220-AU300</v>
      </c>
      <c r="B8450" t="str">
        <f>"BRACKET-REAR BU"</f>
        <v>BRACKET-REAR BU</v>
      </c>
      <c r="C8450">
        <v>24</v>
      </c>
      <c r="D8450">
        <v>1477.7760000000001</v>
      </c>
    </row>
    <row r="8451" spans="1:4">
      <c r="A8451" t="str">
        <f>"85220-JG000"</f>
        <v>85220-JG000</v>
      </c>
      <c r="B8451" t="str">
        <f>"Кронштейн заднего ба"</f>
        <v>Кронштейн заднего ба</v>
      </c>
      <c r="C8451">
        <v>11</v>
      </c>
      <c r="D8451">
        <v>137.08799999999999</v>
      </c>
    </row>
    <row r="8452" spans="1:4">
      <c r="A8452" t="str">
        <f>"85220-JN20A"</f>
        <v>85220-JN20A</v>
      </c>
      <c r="B8452" t="str">
        <f>"Кронштейн заднего ба"</f>
        <v>Кронштейн заднего ба</v>
      </c>
      <c r="C8452">
        <v>16</v>
      </c>
      <c r="D8452">
        <v>743.78399999999999</v>
      </c>
    </row>
    <row r="8453" spans="1:4">
      <c r="A8453" t="str">
        <f>"85221-2Y000"</f>
        <v>85221-2Y000</v>
      </c>
      <c r="B8453" t="str">
        <f>"BRACKET-BUMPER"</f>
        <v>BRACKET-BUMPER</v>
      </c>
      <c r="C8453">
        <v>2</v>
      </c>
      <c r="D8453">
        <v>1011.84</v>
      </c>
    </row>
    <row r="8454" spans="1:4">
      <c r="A8454" t="str">
        <f>"85221-51U50"</f>
        <v>85221-51U50</v>
      </c>
      <c r="B8454" t="str">
        <f>"BRACKET-BUMPER"</f>
        <v>BRACKET-BUMPER</v>
      </c>
      <c r="C8454">
        <v>1</v>
      </c>
      <c r="D8454">
        <v>1533.6719999999998</v>
      </c>
    </row>
    <row r="8455" spans="1:4">
      <c r="A8455" t="str">
        <f>"85221-9Y000"</f>
        <v>85221-9Y000</v>
      </c>
      <c r="B8455" t="str">
        <f>"Кронштейн заднего ба"</f>
        <v>Кронштейн заднего ба</v>
      </c>
      <c r="C8455">
        <v>5</v>
      </c>
      <c r="D8455">
        <v>619.75200000000007</v>
      </c>
    </row>
    <row r="8456" spans="1:4">
      <c r="A8456" t="str">
        <f>"85221-AU300"</f>
        <v>85221-AU300</v>
      </c>
      <c r="B8456" t="str">
        <f>"BRACKET-REAR BU"</f>
        <v>BRACKET-REAR BU</v>
      </c>
      <c r="C8456">
        <v>2</v>
      </c>
      <c r="D8456">
        <v>811.51199999999994</v>
      </c>
    </row>
    <row r="8457" spans="1:4">
      <c r="A8457" t="str">
        <f>"85221-CG000"</f>
        <v>85221-CG000</v>
      </c>
      <c r="B8457" t="str">
        <f>"Кронштейн заднего ба"</f>
        <v>Кронштейн заднего ба</v>
      </c>
      <c r="C8457">
        <v>5</v>
      </c>
      <c r="D8457">
        <v>300.69600000000003</v>
      </c>
    </row>
    <row r="8458" spans="1:4">
      <c r="A8458" t="str">
        <f>"85221-JK00B"</f>
        <v>85221-JK00B</v>
      </c>
      <c r="B8458" t="str">
        <f>"Кронштейн заднего ба"</f>
        <v>Кронштейн заднего ба</v>
      </c>
      <c r="C8458">
        <v>4</v>
      </c>
      <c r="D8458">
        <v>661.36799999999994</v>
      </c>
    </row>
    <row r="8459" spans="1:4">
      <c r="A8459" t="str">
        <f>"85221-JN20A"</f>
        <v>85221-JN20A</v>
      </c>
      <c r="B8459" t="str">
        <f>"Кронштейн заднего ба"</f>
        <v>Кронштейн заднего ба</v>
      </c>
      <c r="C8459">
        <v>6</v>
      </c>
      <c r="D8459">
        <v>722.976</v>
      </c>
    </row>
    <row r="8460" spans="1:4">
      <c r="A8460" t="str">
        <f>"85222-0M00A"</f>
        <v>85222-0M00A</v>
      </c>
      <c r="B8460" t="str">
        <f>"Кронштейн заднего ба"</f>
        <v>Кронштейн заднего ба</v>
      </c>
      <c r="C8460">
        <v>0</v>
      </c>
      <c r="D8460">
        <v>112.2</v>
      </c>
    </row>
    <row r="8461" spans="1:4">
      <c r="A8461" t="str">
        <f>"85222-4U000"</f>
        <v>85222-4U000</v>
      </c>
      <c r="B8461" t="str">
        <f>"BRACKET-REAR"</f>
        <v>BRACKET-REAR</v>
      </c>
      <c r="C8461">
        <v>29</v>
      </c>
      <c r="D8461">
        <v>108.52799999999999</v>
      </c>
    </row>
    <row r="8462" spans="1:4">
      <c r="A8462" t="str">
        <f>"85222-7S600"</f>
        <v>85222-7S600</v>
      </c>
      <c r="B8462" t="str">
        <f>"BRACKET - RR BU"</f>
        <v>BRACKET - RR BU</v>
      </c>
      <c r="C8462">
        <v>1</v>
      </c>
      <c r="D8462">
        <v>3071.424</v>
      </c>
    </row>
    <row r="8463" spans="1:4">
      <c r="A8463" t="str">
        <f>"85222-8H300"</f>
        <v>85222-8H300</v>
      </c>
      <c r="B8463" t="str">
        <f>"BRACKET-BUMPER"</f>
        <v>BRACKET-BUMPER</v>
      </c>
      <c r="C8463">
        <v>6</v>
      </c>
      <c r="D8463">
        <v>112.608</v>
      </c>
    </row>
    <row r="8464" spans="1:4">
      <c r="A8464" t="str">
        <f>"85222-95F0A"</f>
        <v>85222-95F0A</v>
      </c>
      <c r="B8464" t="str">
        <f>"Кронштейн заднего ба"</f>
        <v>Кронштейн заднего ба</v>
      </c>
      <c r="C8464">
        <v>2</v>
      </c>
      <c r="D8464">
        <v>471.23999999999995</v>
      </c>
    </row>
    <row r="8465" spans="1:4">
      <c r="A8465" t="str">
        <f>"85222-BN700"</f>
        <v>85222-BN700</v>
      </c>
      <c r="B8465" t="str">
        <f>"BRACKET-REAR BU"</f>
        <v>BRACKET-REAR BU</v>
      </c>
      <c r="C8465">
        <v>6</v>
      </c>
      <c r="D8465">
        <v>467.15999999999997</v>
      </c>
    </row>
    <row r="8466" spans="1:4">
      <c r="A8466" t="str">
        <f>"85222-EB300"</f>
        <v>85222-EB300</v>
      </c>
      <c r="B8466" t="str">
        <f>"Кронштейн заднего ба"</f>
        <v>Кронштейн заднего ба</v>
      </c>
      <c r="C8466">
        <v>15</v>
      </c>
      <c r="D8466">
        <v>486.33599999999996</v>
      </c>
    </row>
    <row r="8467" spans="1:4">
      <c r="A8467" t="str">
        <f>"85222-EB310"</f>
        <v>85222-EB310</v>
      </c>
      <c r="B8467" t="str">
        <f>"Кронштейн заднего ба"</f>
        <v>Кронштейн заднего ба</v>
      </c>
      <c r="C8467">
        <v>5</v>
      </c>
      <c r="D8467">
        <v>3571.6320000000001</v>
      </c>
    </row>
    <row r="8468" spans="1:4">
      <c r="A8468" t="str">
        <f>"85222-EY10A"</f>
        <v>85222-EY10A</v>
      </c>
      <c r="B8468" t="str">
        <f>"Кронштейн заднего ба"</f>
        <v>Кронштейн заднего ба</v>
      </c>
      <c r="C8468">
        <v>0</v>
      </c>
      <c r="D8468">
        <v>300.28800000000001</v>
      </c>
    </row>
    <row r="8469" spans="1:4">
      <c r="A8469" t="str">
        <f>"85222-JD00A"</f>
        <v>85222-JD00A</v>
      </c>
      <c r="B8469" t="str">
        <f>"Кронштейн заднего ба"</f>
        <v>Кронштейн заднего ба</v>
      </c>
      <c r="C8469">
        <v>103</v>
      </c>
      <c r="D8469">
        <v>288.45599999999996</v>
      </c>
    </row>
    <row r="8470" spans="1:4">
      <c r="A8470" t="str">
        <f>"85223-8H300"</f>
        <v>85223-8H300</v>
      </c>
      <c r="B8470" t="str">
        <f>"BRACKET-BUMPER"</f>
        <v>BRACKET-BUMPER</v>
      </c>
      <c r="C8470">
        <v>0</v>
      </c>
      <c r="D8470">
        <v>106.896</v>
      </c>
    </row>
    <row r="8471" spans="1:4">
      <c r="A8471" t="str">
        <f>"85223-BN700"</f>
        <v>85223-BN700</v>
      </c>
      <c r="B8471" t="str">
        <f>"BRACKET-REAR BU"</f>
        <v>BRACKET-REAR BU</v>
      </c>
      <c r="C8471">
        <v>10</v>
      </c>
      <c r="D8471">
        <v>439.00799999999998</v>
      </c>
    </row>
    <row r="8472" spans="1:4">
      <c r="A8472" t="str">
        <f>"85223-EB300"</f>
        <v>85223-EB300</v>
      </c>
      <c r="B8472" t="str">
        <f>"Кронштейн заднего ба"</f>
        <v>Кронштейн заднего ба</v>
      </c>
      <c r="C8472">
        <v>17</v>
      </c>
      <c r="D8472">
        <v>564.26400000000001</v>
      </c>
    </row>
    <row r="8473" spans="1:4">
      <c r="A8473" t="str">
        <f>"85223-EY10A"</f>
        <v>85223-EY10A</v>
      </c>
      <c r="B8473" t="str">
        <f>"Кронштейн заднего ба"</f>
        <v>Кронштейн заднего ба</v>
      </c>
      <c r="C8473">
        <v>0</v>
      </c>
      <c r="D8473">
        <v>296.61599999999999</v>
      </c>
    </row>
    <row r="8474" spans="1:4">
      <c r="A8474" t="str">
        <f>"85224-2Y000"</f>
        <v>85224-2Y000</v>
      </c>
      <c r="B8474" t="str">
        <f>"BRKT-RR BUMPER"</f>
        <v>BRKT-RR BUMPER</v>
      </c>
      <c r="C8474">
        <v>0</v>
      </c>
      <c r="D8474">
        <v>372.91199999999998</v>
      </c>
    </row>
    <row r="8475" spans="1:4">
      <c r="A8475" t="str">
        <f>"85224-CA000"</f>
        <v>85224-CA000</v>
      </c>
      <c r="B8475" t="str">
        <f>"BRKT-RR BUMPER"</f>
        <v>BRKT-RR BUMPER</v>
      </c>
      <c r="C8475">
        <v>0</v>
      </c>
      <c r="D8475">
        <v>427.584</v>
      </c>
    </row>
    <row r="8476" spans="1:4">
      <c r="A8476" t="str">
        <f>"85226-1CA0A"</f>
        <v>85226-1CA0A</v>
      </c>
      <c r="B8476" t="str">
        <f>"Кронштейн заднего ба"</f>
        <v>Кронштейн заднего ба</v>
      </c>
      <c r="C8476">
        <v>4</v>
      </c>
      <c r="D8476">
        <v>625.05599999999993</v>
      </c>
    </row>
    <row r="8477" spans="1:4">
      <c r="A8477" t="str">
        <f>"85226-AX600"</f>
        <v>85226-AX600</v>
      </c>
      <c r="B8477" t="str">
        <f>"BRACKET-REAR BU"</f>
        <v>BRACKET-REAR BU</v>
      </c>
      <c r="C8477">
        <v>1</v>
      </c>
      <c r="D8477">
        <v>340.27199999999999</v>
      </c>
    </row>
    <row r="8478" spans="1:4">
      <c r="A8478" t="str">
        <f>"85226-EM30A"</f>
        <v>85226-EM30A</v>
      </c>
      <c r="B8478" t="str">
        <f>"Кронштейн заднего ба"</f>
        <v>Кронштейн заднего ба</v>
      </c>
      <c r="C8478">
        <v>3</v>
      </c>
      <c r="D8478">
        <v>352.92</v>
      </c>
    </row>
    <row r="8479" spans="1:4">
      <c r="A8479" t="str">
        <f>"85226-EM40A"</f>
        <v>85226-EM40A</v>
      </c>
      <c r="B8479" t="str">
        <f>"Кронштейн заднего ба"</f>
        <v>Кронштейн заднего ба</v>
      </c>
      <c r="C8479">
        <v>39</v>
      </c>
      <c r="D8479">
        <v>308.03999999999996</v>
      </c>
    </row>
    <row r="8480" spans="1:4">
      <c r="A8480" t="str">
        <f>"85226-JD01A"</f>
        <v>85226-JD01A</v>
      </c>
      <c r="B8480" t="str">
        <f>"Кронштейн заднего ба"</f>
        <v>Кронштейн заднего ба</v>
      </c>
      <c r="C8480">
        <v>10</v>
      </c>
      <c r="D8480">
        <v>340.27199999999999</v>
      </c>
    </row>
    <row r="8481" spans="1:4">
      <c r="A8481" t="str">
        <f>"85227-1CA0A"</f>
        <v>85227-1CA0A</v>
      </c>
      <c r="B8481" t="str">
        <f>"Кронштейн заднего ба"</f>
        <v>Кронштейн заднего ба</v>
      </c>
      <c r="C8481">
        <v>2</v>
      </c>
      <c r="D8481">
        <v>618.52800000000002</v>
      </c>
    </row>
    <row r="8482" spans="1:4">
      <c r="A8482" t="str">
        <f>"85227-AX600"</f>
        <v>85227-AX600</v>
      </c>
      <c r="B8482" t="str">
        <f>"BRACKET-REAR BU"</f>
        <v>BRACKET-REAR BU</v>
      </c>
      <c r="C8482">
        <v>0</v>
      </c>
      <c r="D8482">
        <v>340.27199999999999</v>
      </c>
    </row>
    <row r="8483" spans="1:4">
      <c r="A8483" t="str">
        <f>"85227-EM30A"</f>
        <v>85227-EM30A</v>
      </c>
      <c r="B8483" t="str">
        <f t="shared" ref="B8483:B8490" si="166">"Кронштейн заднего ба"</f>
        <v>Кронштейн заднего ба</v>
      </c>
      <c r="C8483">
        <v>2</v>
      </c>
      <c r="D8483">
        <v>370.464</v>
      </c>
    </row>
    <row r="8484" spans="1:4">
      <c r="A8484" t="str">
        <f>"85227-EM40A"</f>
        <v>85227-EM40A</v>
      </c>
      <c r="B8484" t="str">
        <f t="shared" si="166"/>
        <v>Кронштейн заднего ба</v>
      </c>
      <c r="C8484">
        <v>12</v>
      </c>
      <c r="D8484">
        <v>303.55200000000002</v>
      </c>
    </row>
    <row r="8485" spans="1:4">
      <c r="A8485" t="str">
        <f>"85227-JD01A"</f>
        <v>85227-JD01A</v>
      </c>
      <c r="B8485" t="str">
        <f t="shared" si="166"/>
        <v>Кронштейн заднего ба</v>
      </c>
      <c r="C8485">
        <v>8</v>
      </c>
      <c r="D8485">
        <v>319.464</v>
      </c>
    </row>
    <row r="8486" spans="1:4">
      <c r="A8486" t="str">
        <f>"85228-95F0A"</f>
        <v>85228-95F0A</v>
      </c>
      <c r="B8486" t="str">
        <f t="shared" si="166"/>
        <v>Кронштейн заднего ба</v>
      </c>
      <c r="C8486">
        <v>6</v>
      </c>
      <c r="D8486">
        <v>453.28800000000001</v>
      </c>
    </row>
    <row r="8487" spans="1:4">
      <c r="A8487" t="str">
        <f>"85228-9U000"</f>
        <v>85228-9U000</v>
      </c>
      <c r="B8487" t="str">
        <f t="shared" si="166"/>
        <v>Кронштейн заднего ба</v>
      </c>
      <c r="C8487">
        <v>1</v>
      </c>
      <c r="D8487">
        <v>365.976</v>
      </c>
    </row>
    <row r="8488" spans="1:4">
      <c r="A8488" t="str">
        <f>"85229-9U000"</f>
        <v>85229-9U000</v>
      </c>
      <c r="B8488" t="str">
        <f t="shared" si="166"/>
        <v>Кронштейн заднего ба</v>
      </c>
      <c r="C8488">
        <v>2</v>
      </c>
      <c r="D8488">
        <v>366.79200000000003</v>
      </c>
    </row>
    <row r="8489" spans="1:4">
      <c r="A8489" t="str">
        <f>"85244-JG10A"</f>
        <v>85244-JG10A</v>
      </c>
      <c r="B8489" t="str">
        <f t="shared" si="166"/>
        <v>Кронштейн заднего ба</v>
      </c>
      <c r="C8489">
        <v>2</v>
      </c>
      <c r="D8489">
        <v>345.98399999999998</v>
      </c>
    </row>
    <row r="8490" spans="1:4">
      <c r="A8490" t="str">
        <f>"85245-JG10A"</f>
        <v>85245-JG10A</v>
      </c>
      <c r="B8490" t="str">
        <f t="shared" si="166"/>
        <v>Кронштейн заднего ба</v>
      </c>
      <c r="C8490">
        <v>12</v>
      </c>
      <c r="D8490">
        <v>363.12</v>
      </c>
    </row>
    <row r="8491" spans="1:4">
      <c r="A8491" t="str">
        <f>"85250-95F0B"</f>
        <v>85250-95F0B</v>
      </c>
      <c r="B8491" t="str">
        <f>"Усилитель бампер"</f>
        <v>Усилитель бампер</v>
      </c>
      <c r="C8491">
        <v>7</v>
      </c>
      <c r="D8491">
        <v>2780.1120000000001</v>
      </c>
    </row>
    <row r="8492" spans="1:4">
      <c r="A8492" t="str">
        <f>"85252-1CA0A"</f>
        <v>85252-1CA0A</v>
      </c>
      <c r="B8492" t="str">
        <f>"Кронштейн заднего ба"</f>
        <v>Кронштейн заднего ба</v>
      </c>
      <c r="C8492">
        <v>1</v>
      </c>
      <c r="D8492">
        <v>498.57600000000002</v>
      </c>
    </row>
    <row r="8493" spans="1:4">
      <c r="A8493" t="str">
        <f>"85260-5X00A"</f>
        <v>85260-5X00A</v>
      </c>
      <c r="B8493" t="str">
        <f>"Балка заднего бампер"</f>
        <v>Балка заднего бампер</v>
      </c>
      <c r="C8493">
        <v>4</v>
      </c>
      <c r="D8493">
        <v>9486.8160000000007</v>
      </c>
    </row>
    <row r="8494" spans="1:4">
      <c r="A8494" t="str">
        <f>"85270-9F500"</f>
        <v>85270-9F500</v>
      </c>
      <c r="B8494" t="str">
        <f>"STAY-REAR BUMPE"</f>
        <v>STAY-REAR BUMPE</v>
      </c>
      <c r="C8494">
        <v>9</v>
      </c>
      <c r="D8494">
        <v>498.98399999999998</v>
      </c>
    </row>
    <row r="8495" spans="1:4">
      <c r="A8495" t="str">
        <f>"85270-EB300"</f>
        <v>85270-EB300</v>
      </c>
      <c r="B8495" t="str">
        <f>"Кронштейн заднего ба"</f>
        <v>Кронштейн заднего ба</v>
      </c>
      <c r="C8495">
        <v>3</v>
      </c>
      <c r="D8495">
        <v>636.88800000000003</v>
      </c>
    </row>
    <row r="8496" spans="1:4">
      <c r="A8496" t="str">
        <f>"85270-JG00A"</f>
        <v>85270-JG00A</v>
      </c>
      <c r="B8496" t="str">
        <f>"Кронштейн заднего ба"</f>
        <v>Кронштейн заднего ба</v>
      </c>
      <c r="C8496">
        <v>7</v>
      </c>
      <c r="D8496">
        <v>178.70399999999998</v>
      </c>
    </row>
    <row r="8497" spans="1:4">
      <c r="A8497" t="str">
        <f>"85271-EB300"</f>
        <v>85271-EB300</v>
      </c>
      <c r="B8497" t="str">
        <f>"Кронштейн заднего ба"</f>
        <v>Кронштейн заднего ба</v>
      </c>
      <c r="C8497">
        <v>3</v>
      </c>
      <c r="D8497">
        <v>574.05599999999993</v>
      </c>
    </row>
    <row r="8498" spans="1:4">
      <c r="A8498" t="str">
        <f>"85271-JG00A"</f>
        <v>85271-JG00A</v>
      </c>
      <c r="B8498" t="str">
        <f>"Кронштейн заднего ба"</f>
        <v>Кронштейн заднего ба</v>
      </c>
      <c r="C8498">
        <v>6</v>
      </c>
      <c r="D8498">
        <v>188.90399999999997</v>
      </c>
    </row>
    <row r="8499" spans="1:4">
      <c r="A8499" t="str">
        <f>"85284-0W000"</f>
        <v>85284-0W000</v>
      </c>
      <c r="B8499" t="str">
        <f>"CLIP"</f>
        <v>CLIP</v>
      </c>
      <c r="C8499">
        <v>23</v>
      </c>
      <c r="D8499">
        <v>137.49599999999998</v>
      </c>
    </row>
    <row r="8500" spans="1:4">
      <c r="A8500" t="str">
        <f>"85284-1BA0A"</f>
        <v>85284-1BA0A</v>
      </c>
      <c r="B8500" t="str">
        <f>"Пистон заднего бампе"</f>
        <v>Пистон заднего бампе</v>
      </c>
      <c r="C8500">
        <v>16</v>
      </c>
      <c r="D8500">
        <v>128.51999999999998</v>
      </c>
    </row>
    <row r="8501" spans="1:4">
      <c r="A8501" t="str">
        <f>"85284-4J500"</f>
        <v>85284-4J500</v>
      </c>
      <c r="B8501" t="str">
        <f>"CLIP"</f>
        <v>CLIP</v>
      </c>
      <c r="C8501">
        <v>0</v>
      </c>
      <c r="D8501">
        <v>113.42399999999999</v>
      </c>
    </row>
    <row r="8502" spans="1:4">
      <c r="A8502" t="str">
        <f>"85284-7S610"</f>
        <v>85284-7S610</v>
      </c>
      <c r="B8502" t="str">
        <f>"Пистон заднего бампе"</f>
        <v>Пистон заднего бампе</v>
      </c>
      <c r="C8502">
        <v>8</v>
      </c>
      <c r="D8502">
        <v>53.856000000000002</v>
      </c>
    </row>
    <row r="8503" spans="1:4">
      <c r="A8503" t="str">
        <f>"85284-95F0A"</f>
        <v>85284-95F0A</v>
      </c>
      <c r="B8503" t="str">
        <f>"Пистон заднего бампе"</f>
        <v>Пистон заднего бампе</v>
      </c>
      <c r="C8503">
        <v>43</v>
      </c>
      <c r="D8503">
        <v>139.12799999999999</v>
      </c>
    </row>
    <row r="8504" spans="1:4">
      <c r="A8504" t="str">
        <f>"85284-AD000"</f>
        <v>85284-AD000</v>
      </c>
      <c r="B8504" t="str">
        <f>"CLIP"</f>
        <v>CLIP</v>
      </c>
      <c r="C8504">
        <v>13</v>
      </c>
      <c r="D8504">
        <v>104.04</v>
      </c>
    </row>
    <row r="8505" spans="1:4">
      <c r="A8505" t="str">
        <f>"85284-AL510"</f>
        <v>85284-AL510</v>
      </c>
      <c r="B8505" t="str">
        <f>"CLIP"</f>
        <v>CLIP</v>
      </c>
      <c r="C8505">
        <v>23</v>
      </c>
      <c r="D8505">
        <v>98.736000000000004</v>
      </c>
    </row>
    <row r="8506" spans="1:4">
      <c r="A8506" t="str">
        <f>"85284-BN700"</f>
        <v>85284-BN700</v>
      </c>
      <c r="B8506" t="str">
        <f>"CLIP"</f>
        <v>CLIP</v>
      </c>
      <c r="C8506">
        <v>21</v>
      </c>
      <c r="D8506">
        <v>53.856000000000002</v>
      </c>
    </row>
    <row r="8507" spans="1:4">
      <c r="A8507" t="str">
        <f>"85284-CA000"</f>
        <v>85284-CA000</v>
      </c>
      <c r="B8507" t="str">
        <f>"CLIP"</f>
        <v>CLIP</v>
      </c>
      <c r="C8507">
        <v>10</v>
      </c>
      <c r="D8507">
        <v>136.68</v>
      </c>
    </row>
    <row r="8508" spans="1:4">
      <c r="A8508" t="str">
        <f>"85284-CG000"</f>
        <v>85284-CG000</v>
      </c>
      <c r="B8508" t="str">
        <f>"Пистон заднего бампе"</f>
        <v>Пистон заднего бампе</v>
      </c>
      <c r="C8508">
        <v>22</v>
      </c>
      <c r="D8508">
        <v>140.76</v>
      </c>
    </row>
    <row r="8509" spans="1:4">
      <c r="A8509" t="str">
        <f>"85284-EG000"</f>
        <v>85284-EG000</v>
      </c>
      <c r="B8509" t="str">
        <f>"Пистон заднего бампе"</f>
        <v>Пистон заднего бампе</v>
      </c>
      <c r="C8509">
        <v>29</v>
      </c>
      <c r="D8509">
        <v>105.264</v>
      </c>
    </row>
    <row r="8510" spans="1:4">
      <c r="A8510" t="str">
        <f>"85284-JG00A"</f>
        <v>85284-JG00A</v>
      </c>
      <c r="B8510" t="str">
        <f>"Пистон заднего бампе"</f>
        <v>Пистон заднего бампе</v>
      </c>
      <c r="C8510">
        <v>7</v>
      </c>
      <c r="D8510">
        <v>111.38399999999999</v>
      </c>
    </row>
    <row r="8511" spans="1:4">
      <c r="A8511" t="str">
        <f>"85284-VB000"</f>
        <v>85284-VB000</v>
      </c>
      <c r="B8511" t="str">
        <f>"CLIP"</f>
        <v>CLIP</v>
      </c>
      <c r="C8511">
        <v>10</v>
      </c>
      <c r="D8511">
        <v>152.184</v>
      </c>
    </row>
    <row r="8512" spans="1:4">
      <c r="A8512" t="str">
        <f>"85285-JG00A"</f>
        <v>85285-JG00A</v>
      </c>
      <c r="B8512" t="str">
        <f>"Пистон крепления бам"</f>
        <v>Пистон крепления бам</v>
      </c>
      <c r="C8512">
        <v>7</v>
      </c>
      <c r="D8512">
        <v>52.224000000000004</v>
      </c>
    </row>
    <row r="8513" spans="1:4">
      <c r="A8513" t="str">
        <f>"85832-VB300"</f>
        <v>85832-VB300</v>
      </c>
      <c r="B8513" t="str">
        <f>"FIN-RR BMPR RH"</f>
        <v>FIN-RR BMPR RH</v>
      </c>
      <c r="C8513">
        <v>2</v>
      </c>
      <c r="D8513">
        <v>1087.7280000000001</v>
      </c>
    </row>
    <row r="8514" spans="1:4">
      <c r="A8514" t="str">
        <f>"85832-VC200"</f>
        <v>85832-VC200</v>
      </c>
      <c r="B8514" t="str">
        <f>"FIN-RR BMPR RH"</f>
        <v>FIN-RR BMPR RH</v>
      </c>
      <c r="C8514">
        <v>3</v>
      </c>
      <c r="D8514">
        <v>1195.0319999999999</v>
      </c>
    </row>
    <row r="8515" spans="1:4">
      <c r="A8515" t="str">
        <f>"85832-VD200"</f>
        <v>85832-VD200</v>
      </c>
      <c r="B8515" t="str">
        <f>"FIN-RR BMPR RH"</f>
        <v>FIN-RR BMPR RH</v>
      </c>
      <c r="C8515">
        <v>6</v>
      </c>
      <c r="D8515">
        <v>1089.768</v>
      </c>
    </row>
    <row r="8516" spans="1:4">
      <c r="A8516" t="str">
        <f>"85833-VB300"</f>
        <v>85833-VB300</v>
      </c>
      <c r="B8516" t="str">
        <f>"FIN-RR BMPR LH"</f>
        <v>FIN-RR BMPR LH</v>
      </c>
      <c r="C8516">
        <v>8</v>
      </c>
      <c r="D8516">
        <v>1073.04</v>
      </c>
    </row>
    <row r="8517" spans="1:4">
      <c r="A8517" t="str">
        <f>"85833-VC200"</f>
        <v>85833-VC200</v>
      </c>
      <c r="B8517" t="str">
        <f>"FIN-RR BMPR LH"</f>
        <v>FIN-RR BMPR LH</v>
      </c>
      <c r="C8517">
        <v>3</v>
      </c>
      <c r="D8517">
        <v>1218.6959999999999</v>
      </c>
    </row>
    <row r="8518" spans="1:4">
      <c r="A8518" t="str">
        <f>"85833-VD200"</f>
        <v>85833-VD200</v>
      </c>
      <c r="B8518" t="str">
        <f>"FIN-RR BMPR LH"</f>
        <v>FIN-RR BMPR LH</v>
      </c>
      <c r="C8518">
        <v>5</v>
      </c>
      <c r="D8518">
        <v>1055.4960000000001</v>
      </c>
    </row>
    <row r="8519" spans="1:4">
      <c r="A8519" t="str">
        <f>"86728-95F0F"</f>
        <v>86728-95F0F</v>
      </c>
      <c r="B8519" t="str">
        <f>"ОБЛИЦОВКА"</f>
        <v>ОБЛИЦОВКА</v>
      </c>
      <c r="C8519">
        <v>1</v>
      </c>
      <c r="D8519">
        <v>467.15999999999997</v>
      </c>
    </row>
    <row r="8520" spans="1:4">
      <c r="A8520" t="str">
        <f>"86842-JD00E"</f>
        <v>86842-JD00E</v>
      </c>
      <c r="B8520" t="str">
        <f>"BELT ASSY-BUCKL"</f>
        <v>BELT ASSY-BUCKL</v>
      </c>
      <c r="C8520">
        <v>0</v>
      </c>
      <c r="D8520">
        <v>1658.1119999999999</v>
      </c>
    </row>
    <row r="8521" spans="1:4">
      <c r="A8521" t="str">
        <f>"87013-9W60A"</f>
        <v>87013-9W60A</v>
      </c>
      <c r="B8521" t="str">
        <f>"Ручка регулятора кре"</f>
        <v>Ручка регулятора кре</v>
      </c>
      <c r="C8521">
        <v>0</v>
      </c>
      <c r="D8521">
        <v>327.21600000000001</v>
      </c>
    </row>
    <row r="8522" spans="1:4">
      <c r="A8522" t="str">
        <f>"87013-EB202"</f>
        <v>87013-EB202</v>
      </c>
      <c r="B8522" t="str">
        <f>"Ручка регулировки кр"</f>
        <v>Ручка регулировки кр</v>
      </c>
      <c r="C8522">
        <v>8</v>
      </c>
      <c r="D8522">
        <v>252.55199999999999</v>
      </c>
    </row>
    <row r="8523" spans="1:4">
      <c r="A8523" t="str">
        <f>"87335-3W517"</f>
        <v>87335-3W517</v>
      </c>
      <c r="B8523" t="str">
        <f>"HEATER UNIT-FRO"</f>
        <v>HEATER UNIT-FRO</v>
      </c>
      <c r="C8523">
        <v>1</v>
      </c>
      <c r="D8523">
        <v>3798.48</v>
      </c>
    </row>
    <row r="8524" spans="1:4">
      <c r="A8524" t="str">
        <f>"87382-4X60B"</f>
        <v>87382-4X60B</v>
      </c>
      <c r="B8524" t="str">
        <f>"Кронштейн кресла"</f>
        <v>Кронштейн кресла</v>
      </c>
      <c r="C8524">
        <v>3</v>
      </c>
      <c r="D8524">
        <v>109.34400000000001</v>
      </c>
    </row>
    <row r="8525" spans="1:4">
      <c r="A8525" t="str">
        <f>"87383-9N00A"</f>
        <v>87383-9N00A</v>
      </c>
      <c r="B8525" t="str">
        <f>"Фильтр вентиляции кр"</f>
        <v>Фильтр вентиляции кр</v>
      </c>
      <c r="C8525">
        <v>0</v>
      </c>
      <c r="D8525">
        <v>1902.5039999999999</v>
      </c>
    </row>
    <row r="8526" spans="1:4">
      <c r="A8526" t="str">
        <f>"87383-CS015"</f>
        <v>87383-CS015</v>
      </c>
      <c r="B8526" t="str">
        <f>"Фильтр вентиляции кр"</f>
        <v>Фильтр вентиляции кр</v>
      </c>
      <c r="C8526">
        <v>20</v>
      </c>
      <c r="D8526">
        <v>1817.64</v>
      </c>
    </row>
    <row r="8527" spans="1:4">
      <c r="A8527" t="str">
        <f>"87418-90J02"</f>
        <v>87418-90J02</v>
      </c>
      <c r="B8527" t="str">
        <f>"KNOB-RECLINING"</f>
        <v>KNOB-RECLINING</v>
      </c>
      <c r="C8527">
        <v>7</v>
      </c>
      <c r="D8527">
        <v>34.271999999999998</v>
      </c>
    </row>
    <row r="8528" spans="1:4">
      <c r="A8528" t="str">
        <f>"87602-VC700"</f>
        <v>87602-VC700</v>
      </c>
      <c r="B8528" t="str">
        <f>"HOLDER ASSY-HEA"</f>
        <v>HOLDER ASSY-HEA</v>
      </c>
      <c r="C8528">
        <v>1</v>
      </c>
      <c r="D8528">
        <v>117.50399999999999</v>
      </c>
    </row>
    <row r="8529" spans="1:4">
      <c r="A8529" t="str">
        <f>"87611-AV200"</f>
        <v>87611-AV200</v>
      </c>
      <c r="B8529" t="str">
        <f>"PAD-FRONT SEAT"</f>
        <v>PAD-FRONT SEAT</v>
      </c>
      <c r="C8529">
        <v>1</v>
      </c>
      <c r="D8529">
        <v>3621</v>
      </c>
    </row>
    <row r="8530" spans="1:4">
      <c r="A8530" t="str">
        <f>"87635-3W517"</f>
        <v>87635-3W517</v>
      </c>
      <c r="B8530" t="str">
        <f>"HEATER UNIT-FRO"</f>
        <v>HEATER UNIT-FRO</v>
      </c>
      <c r="C8530">
        <v>1</v>
      </c>
      <c r="D8530">
        <v>9058.0079999999998</v>
      </c>
    </row>
    <row r="8531" spans="1:4">
      <c r="A8531" t="str">
        <f>"87635-BM410"</f>
        <v>87635-BM410</v>
      </c>
      <c r="B8531" t="str">
        <f>"HEATER UNIT-FRO"</f>
        <v>HEATER UNIT-FRO</v>
      </c>
      <c r="C8531">
        <v>1</v>
      </c>
      <c r="D8531">
        <v>2856</v>
      </c>
    </row>
    <row r="8532" spans="1:4">
      <c r="A8532" t="str">
        <f>"87661-8H770"</f>
        <v>87661-8H770</v>
      </c>
      <c r="B8532" t="str">
        <f>"PAD-FRONT SEAT"</f>
        <v>PAD-FRONT SEAT</v>
      </c>
      <c r="C8532">
        <v>2</v>
      </c>
      <c r="D8532">
        <v>3798.48</v>
      </c>
    </row>
    <row r="8533" spans="1:4">
      <c r="A8533" t="str">
        <f>"87670-AV562"</f>
        <v>87670-AV562</v>
      </c>
      <c r="B8533" t="str">
        <f>"Обшивка кресла"</f>
        <v>Обшивка кресла</v>
      </c>
      <c r="C8533">
        <v>1</v>
      </c>
      <c r="D8533">
        <v>3376.2</v>
      </c>
    </row>
    <row r="8534" spans="1:4">
      <c r="A8534" t="str">
        <f>"88604-AX401"</f>
        <v>88604-AX401</v>
      </c>
      <c r="B8534" t="str">
        <f>"ВТУЛКА"</f>
        <v>ВТУЛКА</v>
      </c>
      <c r="C8534">
        <v>10</v>
      </c>
      <c r="D8534">
        <v>66.911999999999992</v>
      </c>
    </row>
    <row r="8535" spans="1:4">
      <c r="A8535" t="str">
        <f>"88619-AX401"</f>
        <v>88619-AX401</v>
      </c>
      <c r="B8535" t="str">
        <f>"ВТУЛКА"</f>
        <v>ВТУЛКА</v>
      </c>
      <c r="C8535">
        <v>1</v>
      </c>
      <c r="D8535">
        <v>131.376</v>
      </c>
    </row>
    <row r="8536" spans="1:4">
      <c r="A8536" t="str">
        <f>"88775-JN53A"</f>
        <v>88775-JN53A</v>
      </c>
      <c r="B8536" t="str">
        <f>"Держатель кружки"</f>
        <v>Держатель кружки</v>
      </c>
      <c r="C8536">
        <v>0</v>
      </c>
      <c r="D8536">
        <v>4438.6319999999996</v>
      </c>
    </row>
    <row r="8537" spans="1:4">
      <c r="A8537" t="str">
        <f>"88796-6P000"</f>
        <v>88796-6P000</v>
      </c>
      <c r="B8537" t="str">
        <f>"Пистон задней панели"</f>
        <v>Пистон задней панели</v>
      </c>
      <c r="C8537">
        <v>12</v>
      </c>
      <c r="D8537">
        <v>70.175999999999988</v>
      </c>
    </row>
    <row r="8538" spans="1:4">
      <c r="A8538" t="str">
        <f>"90010-CL16A"</f>
        <v>90010-CL16A</v>
      </c>
      <c r="B8538" t="str">
        <f>"Дверь задняя"</f>
        <v>Дверь задняя</v>
      </c>
      <c r="C8538">
        <v>1</v>
      </c>
      <c r="D8538">
        <v>44316.959999999999</v>
      </c>
    </row>
    <row r="8539" spans="1:4">
      <c r="A8539" t="str">
        <f>"90010-CL91A"</f>
        <v>90010-CL91A</v>
      </c>
      <c r="B8539" t="str">
        <f>"ДВЕРЬ ЗАДНЯЯ"</f>
        <v>ДВЕРЬ ЗАДНЯЯ</v>
      </c>
      <c r="C8539">
        <v>1</v>
      </c>
      <c r="D8539">
        <v>44316.959999999999</v>
      </c>
    </row>
    <row r="8540" spans="1:4">
      <c r="A8540" t="str">
        <f>"90100-AX630"</f>
        <v>90100-AX630</v>
      </c>
      <c r="B8540" t="str">
        <f>"DOOR-BACK"</f>
        <v>DOOR-BACK</v>
      </c>
      <c r="C8540">
        <v>0</v>
      </c>
      <c r="D8540">
        <v>11222.448</v>
      </c>
    </row>
    <row r="8541" spans="1:4">
      <c r="A8541" t="str">
        <f>"90100-EB330"</f>
        <v>90100-EB330</v>
      </c>
      <c r="B8541" t="str">
        <f>"ДВЕРЬ ЗАДН"</f>
        <v>ДВЕРЬ ЗАДН</v>
      </c>
      <c r="C8541">
        <v>1</v>
      </c>
      <c r="D8541">
        <v>31807.272000000001</v>
      </c>
    </row>
    <row r="8542" spans="1:4">
      <c r="A8542" t="str">
        <f>"90300-1BG0A"</f>
        <v>90300-1BG0A</v>
      </c>
      <c r="B8542" t="str">
        <f>"Стекло пятой две"</f>
        <v>Стекло пятой две</v>
      </c>
      <c r="C8542">
        <v>3</v>
      </c>
      <c r="D8542">
        <v>18360</v>
      </c>
    </row>
    <row r="8543" spans="1:4">
      <c r="A8543" t="str">
        <f>"90300-1CA0A"</f>
        <v>90300-1CA0A</v>
      </c>
      <c r="B8543" t="str">
        <f>"Стекло пятой две"</f>
        <v>Стекло пятой две</v>
      </c>
      <c r="C8543">
        <v>9</v>
      </c>
      <c r="D8543">
        <v>40817.951999999997</v>
      </c>
    </row>
    <row r="8544" spans="1:4">
      <c r="A8544" t="str">
        <f>"90300-4X00A"</f>
        <v>90300-4X00A</v>
      </c>
      <c r="B8544" t="str">
        <f>"Стекло 5-й двери"</f>
        <v>Стекло 5-й двери</v>
      </c>
      <c r="C8544">
        <v>3</v>
      </c>
      <c r="D8544">
        <v>25739.496000000003</v>
      </c>
    </row>
    <row r="8545" spans="1:4">
      <c r="A8545" t="str">
        <f>"90300-8H301"</f>
        <v>90300-8H301</v>
      </c>
      <c r="B8545" t="str">
        <f>"GLASS-TAIL GATE"</f>
        <v>GLASS-TAIL GATE</v>
      </c>
      <c r="C8545">
        <v>8</v>
      </c>
      <c r="D8545">
        <v>23685.216</v>
      </c>
    </row>
    <row r="8546" spans="1:4">
      <c r="A8546" t="str">
        <f>"90300-9U02A"</f>
        <v>90300-9U02A</v>
      </c>
      <c r="B8546" t="str">
        <f>"Стекло пятой две"</f>
        <v>Стекло пятой две</v>
      </c>
      <c r="C8546">
        <v>0</v>
      </c>
      <c r="D8546">
        <v>19036.871999999999</v>
      </c>
    </row>
    <row r="8547" spans="1:4">
      <c r="A8547" t="str">
        <f>"90300-CA000"</f>
        <v>90300-CA000</v>
      </c>
      <c r="B8547" t="str">
        <f>"GLASS-BACK DOOR"</f>
        <v>GLASS-BACK DOOR</v>
      </c>
      <c r="C8547">
        <v>1</v>
      </c>
      <c r="D8547">
        <v>25166.664000000001</v>
      </c>
    </row>
    <row r="8548" spans="1:4">
      <c r="A8548" t="str">
        <f>"90300-CG025"</f>
        <v>90300-CG025</v>
      </c>
      <c r="B8548" t="str">
        <f>"GLASS-BACK DOOR"</f>
        <v>GLASS-BACK DOOR</v>
      </c>
      <c r="C8548">
        <v>1</v>
      </c>
      <c r="D8548">
        <v>27679.944</v>
      </c>
    </row>
    <row r="8549" spans="1:4">
      <c r="A8549" t="str">
        <f>"90300-EL000"</f>
        <v>90300-EL000</v>
      </c>
      <c r="B8549" t="str">
        <f>"Стекло пятой две"</f>
        <v>Стекло пятой две</v>
      </c>
      <c r="C8549">
        <v>4</v>
      </c>
      <c r="D8549">
        <v>22663.991999999998</v>
      </c>
    </row>
    <row r="8550" spans="1:4">
      <c r="A8550" t="str">
        <f>"90300-EY10A"</f>
        <v>90300-EY10A</v>
      </c>
      <c r="B8550" t="str">
        <f>"Стекло пятой две"</f>
        <v>Стекло пятой две</v>
      </c>
      <c r="C8550">
        <v>0</v>
      </c>
      <c r="D8550">
        <v>20863.488000000001</v>
      </c>
    </row>
    <row r="8551" spans="1:4">
      <c r="A8551" t="str">
        <f>"90300-JD000"</f>
        <v>90300-JD000</v>
      </c>
      <c r="B8551" t="str">
        <f>"Стекло пятой две"</f>
        <v>Стекло пятой две</v>
      </c>
      <c r="C8551">
        <v>0</v>
      </c>
      <c r="D8551">
        <v>19645.2</v>
      </c>
    </row>
    <row r="8552" spans="1:4">
      <c r="A8552" t="str">
        <f>"90300-JD00A"</f>
        <v>90300-JD00A</v>
      </c>
      <c r="B8552" t="str">
        <f>"Стекло пятой две"</f>
        <v>Стекло пятой две</v>
      </c>
      <c r="C8552">
        <v>0</v>
      </c>
      <c r="D8552">
        <v>21240.072</v>
      </c>
    </row>
    <row r="8553" spans="1:4">
      <c r="A8553" t="str">
        <f>"90300-VB011"</f>
        <v>90300-VB011</v>
      </c>
      <c r="B8553" t="str">
        <f>"GLASS-BACK DOOR"</f>
        <v>GLASS-BACK DOOR</v>
      </c>
      <c r="C8553">
        <v>6</v>
      </c>
      <c r="D8553">
        <v>13387.296</v>
      </c>
    </row>
    <row r="8554" spans="1:4">
      <c r="A8554" t="str">
        <f>"90300-ZP40A"</f>
        <v>90300-ZP40A</v>
      </c>
      <c r="B8554" t="str">
        <f>"Стекло пятой две"</f>
        <v>Стекло пятой две</v>
      </c>
      <c r="C8554">
        <v>2</v>
      </c>
      <c r="D8554">
        <v>26660.351999999999</v>
      </c>
    </row>
    <row r="8555" spans="1:4">
      <c r="A8555" t="str">
        <f>"90301-VB011"</f>
        <v>90301-VB011</v>
      </c>
      <c r="B8555" t="str">
        <f>"GLASS-BACK DOOR"</f>
        <v>GLASS-BACK DOOR</v>
      </c>
      <c r="C8555">
        <v>4</v>
      </c>
      <c r="D8555">
        <v>10962.96</v>
      </c>
    </row>
    <row r="8556" spans="1:4">
      <c r="A8556" t="str">
        <f>"90336-7S000"</f>
        <v>90336-7S000</v>
      </c>
      <c r="B8556" t="str">
        <f>"Ручка пятой двер"</f>
        <v>Ручка пятой двер</v>
      </c>
      <c r="C8556">
        <v>0</v>
      </c>
      <c r="D8556">
        <v>636.88800000000003</v>
      </c>
    </row>
    <row r="8557" spans="1:4">
      <c r="A8557" t="str">
        <f>"90352-9U000"</f>
        <v>90352-9U000</v>
      </c>
      <c r="B8557" t="str">
        <f>"Молдинг пятой дв"</f>
        <v>Молдинг пятой дв</v>
      </c>
      <c r="C8557">
        <v>3</v>
      </c>
      <c r="D8557">
        <v>612</v>
      </c>
    </row>
    <row r="8558" spans="1:4">
      <c r="A8558" t="str">
        <f>"90352-EL000"</f>
        <v>90352-EL000</v>
      </c>
      <c r="B8558" t="str">
        <f>"Молдинг заднего стек"</f>
        <v>Молдинг заднего стек</v>
      </c>
      <c r="C8558">
        <v>4</v>
      </c>
      <c r="D8558">
        <v>830.68799999999999</v>
      </c>
    </row>
    <row r="8559" spans="1:4">
      <c r="A8559" t="str">
        <f>"90356-8H300"</f>
        <v>90356-8H300</v>
      </c>
      <c r="B8559" t="str">
        <f>"HOLDER-BACK DOO"</f>
        <v>HOLDER-BACK DOO</v>
      </c>
      <c r="C8559">
        <v>1</v>
      </c>
      <c r="D8559">
        <v>254.18399999999997</v>
      </c>
    </row>
    <row r="8560" spans="1:4">
      <c r="A8560" t="str">
        <f>"90356-8H301"</f>
        <v>90356-8H301</v>
      </c>
      <c r="B8560" t="str">
        <f>"HOLDER-BACK DOO"</f>
        <v>HOLDER-BACK DOO</v>
      </c>
      <c r="C8560">
        <v>2</v>
      </c>
      <c r="D8560">
        <v>264.38399999999996</v>
      </c>
    </row>
    <row r="8561" spans="1:4">
      <c r="A8561" t="str">
        <f>"90356-8H302"</f>
        <v>90356-8H302</v>
      </c>
      <c r="B8561" t="str">
        <f>"HOLDER-BACK DOO"</f>
        <v>HOLDER-BACK DOO</v>
      </c>
      <c r="C8561">
        <v>2</v>
      </c>
      <c r="D8561">
        <v>257.03999999999996</v>
      </c>
    </row>
    <row r="8562" spans="1:4">
      <c r="A8562" t="str">
        <f>"90356-JG00A"</f>
        <v>90356-JG00A</v>
      </c>
      <c r="B8562" t="str">
        <f>"Держатель стекла пят"</f>
        <v>Держатель стекла пят</v>
      </c>
      <c r="C8562">
        <v>17</v>
      </c>
      <c r="D8562">
        <v>262.75200000000001</v>
      </c>
    </row>
    <row r="8563" spans="1:4">
      <c r="A8563" t="str">
        <f>"90386-8H304"</f>
        <v>90386-8H304</v>
      </c>
      <c r="B8563" t="str">
        <f>"DAM RUBBER SEAL"</f>
        <v>DAM RUBBER SEAL</v>
      </c>
      <c r="C8563">
        <v>8</v>
      </c>
      <c r="D8563">
        <v>450.02399999999994</v>
      </c>
    </row>
    <row r="8564" spans="1:4">
      <c r="A8564" t="str">
        <f>"90386-8H305"</f>
        <v>90386-8H305</v>
      </c>
      <c r="B8564" t="str">
        <f>"DAM RUBBER SEAL"</f>
        <v>DAM RUBBER SEAL</v>
      </c>
      <c r="C8564">
        <v>3</v>
      </c>
      <c r="D8564">
        <v>449.61599999999999</v>
      </c>
    </row>
    <row r="8565" spans="1:4">
      <c r="A8565" t="str">
        <f>"90400-VB06A"</f>
        <v>90400-VB06A</v>
      </c>
      <c r="B8565" t="str">
        <f>"Петля задней две"</f>
        <v>Петля задней две</v>
      </c>
      <c r="C8565">
        <v>0</v>
      </c>
      <c r="D8565">
        <v>1849.4639999999999</v>
      </c>
    </row>
    <row r="8566" spans="1:4">
      <c r="A8566" t="str">
        <f>"90410-VB06A"</f>
        <v>90410-VB06A</v>
      </c>
      <c r="B8566" t="str">
        <f>"Петля задней две"</f>
        <v>Петля задней две</v>
      </c>
      <c r="C8566">
        <v>0</v>
      </c>
      <c r="D8566">
        <v>2327.64</v>
      </c>
    </row>
    <row r="8567" spans="1:4">
      <c r="A8567" t="str">
        <f>"90450-7S40A"</f>
        <v>90450-7S40A</v>
      </c>
      <c r="B8567" t="str">
        <f>"Стойка пятой две"</f>
        <v>Стойка пятой две</v>
      </c>
      <c r="C8567">
        <v>10</v>
      </c>
      <c r="D8567">
        <v>1743.3839999999998</v>
      </c>
    </row>
    <row r="8568" spans="1:4">
      <c r="A8568" t="str">
        <f>"90450-9U00A"</f>
        <v>90450-9U00A</v>
      </c>
      <c r="B8568" t="str">
        <f>"Стойка пятой две"</f>
        <v>Стойка пятой две</v>
      </c>
      <c r="C8568">
        <v>1</v>
      </c>
      <c r="D8568">
        <v>4844.5919999999996</v>
      </c>
    </row>
    <row r="8569" spans="1:4">
      <c r="A8569" t="str">
        <f>"90450-9U00C"</f>
        <v>90450-9U00C</v>
      </c>
      <c r="B8569" t="str">
        <f>"Стойка пятой две"</f>
        <v>Стойка пятой две</v>
      </c>
      <c r="C8569">
        <v>1</v>
      </c>
      <c r="D8569">
        <v>4844.5919999999996</v>
      </c>
    </row>
    <row r="8570" spans="1:4">
      <c r="A8570" t="str">
        <f>"90450-BM425"</f>
        <v>90450-BM425</v>
      </c>
      <c r="B8570" t="str">
        <f>"STAY ASSY-BACK"</f>
        <v>STAY ASSY-BACK</v>
      </c>
      <c r="C8570">
        <v>3</v>
      </c>
      <c r="D8570">
        <v>4896</v>
      </c>
    </row>
    <row r="8571" spans="1:4">
      <c r="A8571" t="str">
        <f>"90450-EB31B"</f>
        <v>90450-EB31B</v>
      </c>
      <c r="B8571" t="str">
        <f t="shared" ref="B8571:B8577" si="167">"Стойка пятой две"</f>
        <v>Стойка пятой две</v>
      </c>
      <c r="C8571">
        <v>7</v>
      </c>
      <c r="D8571">
        <v>5031.4560000000001</v>
      </c>
    </row>
    <row r="8572" spans="1:4">
      <c r="A8572" t="str">
        <f>"90450-JD01C"</f>
        <v>90450-JD01C</v>
      </c>
      <c r="B8572" t="str">
        <f t="shared" si="167"/>
        <v>Стойка пятой две</v>
      </c>
      <c r="C8572">
        <v>6</v>
      </c>
      <c r="D8572">
        <v>3949.0320000000002</v>
      </c>
    </row>
    <row r="8573" spans="1:4">
      <c r="A8573" t="str">
        <f>"90450-JG400"</f>
        <v>90450-JG400</v>
      </c>
      <c r="B8573" t="str">
        <f t="shared" si="167"/>
        <v>Стойка пятой две</v>
      </c>
      <c r="C8573">
        <v>15</v>
      </c>
      <c r="D8573">
        <v>3828.2639999999997</v>
      </c>
    </row>
    <row r="8574" spans="1:4">
      <c r="A8574" t="str">
        <f>"90451-7S40A"</f>
        <v>90451-7S40A</v>
      </c>
      <c r="B8574" t="str">
        <f t="shared" si="167"/>
        <v>Стойка пятой две</v>
      </c>
      <c r="C8574">
        <v>5</v>
      </c>
      <c r="D8574">
        <v>1193.3999999999999</v>
      </c>
    </row>
    <row r="8575" spans="1:4">
      <c r="A8575" t="str">
        <f>"90451-EB31B"</f>
        <v>90451-EB31B</v>
      </c>
      <c r="B8575" t="str">
        <f t="shared" si="167"/>
        <v>Стойка пятой две</v>
      </c>
      <c r="C8575">
        <v>12</v>
      </c>
      <c r="D8575">
        <v>5032.6799999999994</v>
      </c>
    </row>
    <row r="8576" spans="1:4">
      <c r="A8576" t="str">
        <f>"90451-JG400"</f>
        <v>90451-JG400</v>
      </c>
      <c r="B8576" t="str">
        <f t="shared" si="167"/>
        <v>Стойка пятой две</v>
      </c>
      <c r="C8576">
        <v>12</v>
      </c>
      <c r="D8576">
        <v>3880.08</v>
      </c>
    </row>
    <row r="8577" spans="1:4">
      <c r="A8577" t="str">
        <f>"90452-CL00A"</f>
        <v>90452-CL00A</v>
      </c>
      <c r="B8577" t="str">
        <f t="shared" si="167"/>
        <v>Стойка пятой две</v>
      </c>
      <c r="C8577">
        <v>12</v>
      </c>
      <c r="D8577">
        <v>4516.9679999999998</v>
      </c>
    </row>
    <row r="8578" spans="1:4">
      <c r="A8578" t="str">
        <f>"90502-8H30B"</f>
        <v>90502-8H30B</v>
      </c>
      <c r="B8578" t="str">
        <f>"Замок пятой двер"</f>
        <v>Замок пятой двер</v>
      </c>
      <c r="C8578">
        <v>2</v>
      </c>
      <c r="D8578">
        <v>2687.0879999999997</v>
      </c>
    </row>
    <row r="8579" spans="1:4">
      <c r="A8579" t="str">
        <f>"90502-9F600"</f>
        <v>90502-9F600</v>
      </c>
      <c r="B8579" t="str">
        <f>"LOCK ASSY-BACK"</f>
        <v>LOCK ASSY-BACK</v>
      </c>
      <c r="C8579">
        <v>1</v>
      </c>
      <c r="D8579">
        <v>2761.752</v>
      </c>
    </row>
    <row r="8580" spans="1:4">
      <c r="A8580" t="str">
        <f>"90502-CY00A"</f>
        <v>90502-CY00A</v>
      </c>
      <c r="B8580" t="str">
        <f>"Замок пятой двер"</f>
        <v>Замок пятой двер</v>
      </c>
      <c r="C8580">
        <v>1</v>
      </c>
      <c r="D8580">
        <v>2483.904</v>
      </c>
    </row>
    <row r="8581" spans="1:4">
      <c r="A8581" t="str">
        <f>"90502-ED00C"</f>
        <v>90502-ED00C</v>
      </c>
      <c r="B8581" t="str">
        <f>"Замок пятой двер"</f>
        <v>Замок пятой двер</v>
      </c>
      <c r="C8581">
        <v>3</v>
      </c>
      <c r="D8581">
        <v>2135.88</v>
      </c>
    </row>
    <row r="8582" spans="1:4">
      <c r="A8582" t="str">
        <f>"90502-EN00A"</f>
        <v>90502-EN00A</v>
      </c>
      <c r="B8582" t="str">
        <f>"Замок пятой двер"</f>
        <v>Замок пятой двер</v>
      </c>
      <c r="C8582">
        <v>20</v>
      </c>
      <c r="D8582">
        <v>2611.6080000000002</v>
      </c>
    </row>
    <row r="8583" spans="1:4">
      <c r="A8583" t="str">
        <f>"90502-EY10A"</f>
        <v>90502-EY10A</v>
      </c>
      <c r="B8583" t="str">
        <f>"Замок пятой двер"</f>
        <v>Замок пятой двер</v>
      </c>
      <c r="C8583">
        <v>13</v>
      </c>
      <c r="D8583">
        <v>3206.4719999999998</v>
      </c>
    </row>
    <row r="8584" spans="1:4">
      <c r="A8584" t="str">
        <f>"90570-AX000"</f>
        <v>90570-AX000</v>
      </c>
      <c r="B8584" t="str">
        <f>"STRIKER-TAIL GA"</f>
        <v>STRIKER-TAIL GA</v>
      </c>
      <c r="C8584">
        <v>1</v>
      </c>
      <c r="D8584">
        <v>600.57600000000002</v>
      </c>
    </row>
    <row r="8585" spans="1:4">
      <c r="A8585" t="str">
        <f>"90570-ZP50A"</f>
        <v>90570-ZP50A</v>
      </c>
      <c r="B8585" t="str">
        <f>"Замок пятой двер"</f>
        <v>Замок пятой двер</v>
      </c>
      <c r="C8585">
        <v>2</v>
      </c>
      <c r="D8585">
        <v>330.072</v>
      </c>
    </row>
    <row r="8586" spans="1:4">
      <c r="A8586" t="str">
        <f>"90605-CL00A"</f>
        <v>90605-CL00A</v>
      </c>
      <c r="B8586" t="str">
        <f>"Кнопка открытия пято"</f>
        <v>Кнопка открытия пято</v>
      </c>
      <c r="C8586">
        <v>1</v>
      </c>
      <c r="D8586">
        <v>1632.4079999999999</v>
      </c>
    </row>
    <row r="8587" spans="1:4">
      <c r="A8587" t="str">
        <f>"90810-1BF0C"</f>
        <v>90810-1BF0C</v>
      </c>
      <c r="B8587" t="str">
        <f>"Обшивка пятой дв"</f>
        <v>Обшивка пятой дв</v>
      </c>
      <c r="C8587">
        <v>2</v>
      </c>
      <c r="D8587">
        <v>5168.5439999999999</v>
      </c>
    </row>
    <row r="8588" spans="1:4">
      <c r="A8588" t="str">
        <f>"90810-1CJ5B"</f>
        <v>90810-1CJ5B</v>
      </c>
      <c r="B8588" t="str">
        <f t="shared" ref="B8588:B8607" si="168">"Облицовка пятой двер"</f>
        <v>Облицовка пятой двер</v>
      </c>
      <c r="C8588">
        <v>6</v>
      </c>
      <c r="D8588">
        <v>5858.8799999999992</v>
      </c>
    </row>
    <row r="8589" spans="1:4">
      <c r="A8589" t="str">
        <f>"90810-4X56B"</f>
        <v>90810-4X56B</v>
      </c>
      <c r="B8589" t="str">
        <f t="shared" si="168"/>
        <v>Облицовка пятой двер</v>
      </c>
      <c r="C8589">
        <v>0</v>
      </c>
      <c r="D8589">
        <v>3476.5679999999998</v>
      </c>
    </row>
    <row r="8590" spans="1:4">
      <c r="A8590" t="str">
        <f>"90810-8H30A"</f>
        <v>90810-8H30A</v>
      </c>
      <c r="B8590" t="str">
        <f t="shared" si="168"/>
        <v>Облицовка пятой двер</v>
      </c>
      <c r="C8590">
        <v>9</v>
      </c>
      <c r="D8590">
        <v>3917.6159999999995</v>
      </c>
    </row>
    <row r="8591" spans="1:4">
      <c r="A8591" t="str">
        <f>"90810-CG00A"</f>
        <v>90810-CG00A</v>
      </c>
      <c r="B8591" t="str">
        <f t="shared" si="168"/>
        <v>Облицовка пятой двер</v>
      </c>
      <c r="C8591">
        <v>7</v>
      </c>
      <c r="D8591">
        <v>5864.1839999999993</v>
      </c>
    </row>
    <row r="8592" spans="1:4">
      <c r="A8592" t="str">
        <f>"90810-CG10A"</f>
        <v>90810-CG10A</v>
      </c>
      <c r="B8592" t="str">
        <f t="shared" si="168"/>
        <v>Облицовка пятой двер</v>
      </c>
      <c r="C8592">
        <v>1</v>
      </c>
      <c r="D8592">
        <v>8315.4480000000003</v>
      </c>
    </row>
    <row r="8593" spans="1:4">
      <c r="A8593" t="str">
        <f>"90810-JG00D"</f>
        <v>90810-JG00D</v>
      </c>
      <c r="B8593" t="str">
        <f t="shared" si="168"/>
        <v>Облицовка пятой двер</v>
      </c>
      <c r="C8593">
        <v>12</v>
      </c>
      <c r="D8593">
        <v>5308.8959999999997</v>
      </c>
    </row>
    <row r="8594" spans="1:4">
      <c r="A8594" t="str">
        <f>"90810-JG20D"</f>
        <v>90810-JG20D</v>
      </c>
      <c r="B8594" t="str">
        <f t="shared" si="168"/>
        <v>Облицовка пятой двер</v>
      </c>
      <c r="C8594">
        <v>14</v>
      </c>
      <c r="D8594">
        <v>5323.9919999999993</v>
      </c>
    </row>
    <row r="8595" spans="1:4">
      <c r="A8595" t="str">
        <f>"90810-JG30D"</f>
        <v>90810-JG30D</v>
      </c>
      <c r="B8595" t="str">
        <f t="shared" si="168"/>
        <v>Облицовка пятой двер</v>
      </c>
      <c r="C8595">
        <v>2</v>
      </c>
      <c r="D8595">
        <v>5323.9919999999993</v>
      </c>
    </row>
    <row r="8596" spans="1:4">
      <c r="A8596" t="str">
        <f>"90810-JU00A"</f>
        <v>90810-JU00A</v>
      </c>
      <c r="B8596" t="str">
        <f t="shared" si="168"/>
        <v>Облицовка пятой двер</v>
      </c>
      <c r="C8596">
        <v>15</v>
      </c>
      <c r="D8596">
        <v>5589.5999999999995</v>
      </c>
    </row>
    <row r="8597" spans="1:4">
      <c r="A8597" t="str">
        <f>"90810-JU00C"</f>
        <v>90810-JU00C</v>
      </c>
      <c r="B8597" t="str">
        <f t="shared" si="168"/>
        <v>Облицовка пятой двер</v>
      </c>
      <c r="C8597">
        <v>19</v>
      </c>
      <c r="D8597">
        <v>5632.0319999999992</v>
      </c>
    </row>
    <row r="8598" spans="1:4">
      <c r="A8598" t="str">
        <f>"90810-VD21A"</f>
        <v>90810-VD21A</v>
      </c>
      <c r="B8598" t="str">
        <f t="shared" si="168"/>
        <v>Облицовка пятой двер</v>
      </c>
      <c r="C8598">
        <v>2</v>
      </c>
      <c r="D8598">
        <v>10743.048000000001</v>
      </c>
    </row>
    <row r="8599" spans="1:4">
      <c r="A8599" t="str">
        <f>"90812-9U10H"</f>
        <v>90812-9U10H</v>
      </c>
      <c r="B8599" t="str">
        <f t="shared" si="168"/>
        <v>Облицовка пятой двер</v>
      </c>
      <c r="C8599">
        <v>0</v>
      </c>
      <c r="D8599">
        <v>3120.384</v>
      </c>
    </row>
    <row r="8600" spans="1:4">
      <c r="A8600" t="str">
        <f>"90812-9U11H"</f>
        <v>90812-9U11H</v>
      </c>
      <c r="B8600" t="str">
        <f t="shared" si="168"/>
        <v>Облицовка пятой двер</v>
      </c>
      <c r="C8600">
        <v>1</v>
      </c>
      <c r="D8600">
        <v>2719.3199999999997</v>
      </c>
    </row>
    <row r="8601" spans="1:4">
      <c r="A8601" t="str">
        <f>"90812-CM80A"</f>
        <v>90812-CM80A</v>
      </c>
      <c r="B8601" t="str">
        <f t="shared" si="168"/>
        <v>Облицовка пятой двер</v>
      </c>
      <c r="C8601">
        <v>7</v>
      </c>
      <c r="D8601">
        <v>4048.5839999999998</v>
      </c>
    </row>
    <row r="8602" spans="1:4">
      <c r="A8602" t="str">
        <f>"90812-JD00H"</f>
        <v>90812-JD00H</v>
      </c>
      <c r="B8602" t="str">
        <f t="shared" si="168"/>
        <v>Облицовка пятой двер</v>
      </c>
      <c r="C8602">
        <v>0</v>
      </c>
      <c r="D8602">
        <v>3369.2639999999997</v>
      </c>
    </row>
    <row r="8603" spans="1:4">
      <c r="A8603" t="str">
        <f>"90812-JD01H"</f>
        <v>90812-JD01H</v>
      </c>
      <c r="B8603" t="str">
        <f t="shared" si="168"/>
        <v>Облицовка пятой двер</v>
      </c>
      <c r="C8603">
        <v>2</v>
      </c>
      <c r="D8603">
        <v>3362.7360000000003</v>
      </c>
    </row>
    <row r="8604" spans="1:4">
      <c r="A8604" t="str">
        <f>"90812-JD20H"</f>
        <v>90812-JD20H</v>
      </c>
      <c r="B8604" t="str">
        <f t="shared" si="168"/>
        <v>Облицовка пятой двер</v>
      </c>
      <c r="C8604">
        <v>2</v>
      </c>
      <c r="D8604">
        <v>3225.6479999999997</v>
      </c>
    </row>
    <row r="8605" spans="1:4">
      <c r="A8605" t="str">
        <f>"90812-JD30H"</f>
        <v>90812-JD30H</v>
      </c>
      <c r="B8605" t="str">
        <f t="shared" si="168"/>
        <v>Облицовка пятой двер</v>
      </c>
      <c r="C8605">
        <v>0</v>
      </c>
      <c r="D8605">
        <v>3517.3679999999999</v>
      </c>
    </row>
    <row r="8606" spans="1:4">
      <c r="A8606" t="str">
        <f>"90816-1BF0C"</f>
        <v>90816-1BF0C</v>
      </c>
      <c r="B8606" t="str">
        <f t="shared" si="168"/>
        <v>Облицовка пятой двер</v>
      </c>
      <c r="C8606">
        <v>3</v>
      </c>
      <c r="D8606">
        <v>3997.5839999999998</v>
      </c>
    </row>
    <row r="8607" spans="1:4">
      <c r="A8607" t="str">
        <f>"90816-1CJ5B"</f>
        <v>90816-1CJ5B</v>
      </c>
      <c r="B8607" t="str">
        <f t="shared" si="168"/>
        <v>Облицовка пятой двер</v>
      </c>
      <c r="C8607">
        <v>5</v>
      </c>
      <c r="D8607">
        <v>4416.192</v>
      </c>
    </row>
    <row r="8608" spans="1:4">
      <c r="A8608" t="str">
        <f>"90816-CG000"</f>
        <v>90816-CG000</v>
      </c>
      <c r="B8608" t="str">
        <f>"FINISHER"</f>
        <v>FINISHER</v>
      </c>
      <c r="C8608">
        <v>3</v>
      </c>
      <c r="D8608">
        <v>4229.3279999999995</v>
      </c>
    </row>
    <row r="8609" spans="1:4">
      <c r="A8609" t="str">
        <f>"90816-CM84A"</f>
        <v>90816-CM84A</v>
      </c>
      <c r="B8609" t="str">
        <f>"Облицовка пятой двер"</f>
        <v>Облицовка пятой двер</v>
      </c>
      <c r="C8609">
        <v>2</v>
      </c>
      <c r="D8609">
        <v>7585.1279999999988</v>
      </c>
    </row>
    <row r="8610" spans="1:4">
      <c r="A8610" t="str">
        <f>"90816-CM87A"</f>
        <v>90816-CM87A</v>
      </c>
      <c r="B8610" t="str">
        <f>"Облицовка пятой двер"</f>
        <v>Облицовка пятой двер</v>
      </c>
      <c r="C8610">
        <v>5</v>
      </c>
      <c r="D8610">
        <v>6089.808</v>
      </c>
    </row>
    <row r="8611" spans="1:4">
      <c r="A8611" t="str">
        <f>"90817-1CA0A"</f>
        <v>90817-1CA0A</v>
      </c>
      <c r="B8611" t="str">
        <f>"Облицовка пятой двер"</f>
        <v>Облицовка пятой двер</v>
      </c>
      <c r="C8611">
        <v>1</v>
      </c>
      <c r="D8611">
        <v>3550.4159999999997</v>
      </c>
    </row>
    <row r="8612" spans="1:4">
      <c r="A8612" t="str">
        <f>"90820-98J00"</f>
        <v>90820-98J00</v>
      </c>
      <c r="B8612" t="str">
        <f>"WEATHERSTRIP-BA"</f>
        <v>WEATHERSTRIP-BA</v>
      </c>
      <c r="C8612">
        <v>1</v>
      </c>
      <c r="D8612">
        <v>692.78399999999999</v>
      </c>
    </row>
    <row r="8613" spans="1:4">
      <c r="A8613" t="str">
        <f>"90820-JD00A"</f>
        <v>90820-JD00A</v>
      </c>
      <c r="B8613" t="str">
        <f>"Уплотнитель пятой дв"</f>
        <v>Уплотнитель пятой дв</v>
      </c>
      <c r="C8613">
        <v>1</v>
      </c>
      <c r="D8613">
        <v>315.79200000000003</v>
      </c>
    </row>
    <row r="8614" spans="1:4">
      <c r="A8614" t="str">
        <f>"90825-JD00A"</f>
        <v>90825-JD00A</v>
      </c>
      <c r="B8614" t="str">
        <f>"Пистон накладки пято"</f>
        <v>Пистон накладки пято</v>
      </c>
      <c r="C8614">
        <v>0</v>
      </c>
      <c r="D8614">
        <v>52.631999999999998</v>
      </c>
    </row>
    <row r="8615" spans="1:4">
      <c r="A8615" t="str">
        <f>"90830-8H300"</f>
        <v>90830-8H300</v>
      </c>
      <c r="B8615" t="str">
        <f>"WEATHER STRIP"</f>
        <v>WEATHER STRIP</v>
      </c>
      <c r="C8615">
        <v>0</v>
      </c>
      <c r="D8615">
        <v>4518.5999999999995</v>
      </c>
    </row>
    <row r="8616" spans="1:4">
      <c r="A8616" t="str">
        <f>"90830-JD00C"</f>
        <v>90830-JD00C</v>
      </c>
      <c r="B8616" t="str">
        <f>"Уплотнитель пятой дв"</f>
        <v>Уплотнитель пятой дв</v>
      </c>
      <c r="C8616">
        <v>1</v>
      </c>
      <c r="D8616">
        <v>951.04799999999989</v>
      </c>
    </row>
    <row r="8617" spans="1:4">
      <c r="A8617" t="str">
        <f>"90830-JG000"</f>
        <v>90830-JG000</v>
      </c>
      <c r="B8617" t="str">
        <f>"Уплотнитель пятой дв"</f>
        <v>Уплотнитель пятой дв</v>
      </c>
      <c r="C8617">
        <v>0</v>
      </c>
      <c r="D8617">
        <v>4621.0079999999998</v>
      </c>
    </row>
    <row r="8618" spans="1:4">
      <c r="A8618" t="str">
        <f>"90830-VB000"</f>
        <v>90830-VB000</v>
      </c>
      <c r="B8618" t="str">
        <f>"WEATHERSTRIP"</f>
        <v>WEATHERSTRIP</v>
      </c>
      <c r="C8618">
        <v>0</v>
      </c>
      <c r="D8618">
        <v>2726.2559999999999</v>
      </c>
    </row>
    <row r="8619" spans="1:4">
      <c r="A8619" t="str">
        <f>"90876-JD00A"</f>
        <v>90876-JD00A</v>
      </c>
      <c r="B8619" t="str">
        <f>"Кожух задний"</f>
        <v>Кожух задний</v>
      </c>
      <c r="C8619">
        <v>7</v>
      </c>
      <c r="D8619">
        <v>270.096</v>
      </c>
    </row>
    <row r="8620" spans="1:4">
      <c r="A8620" t="str">
        <f>"90878-2L700"</f>
        <v>90878-2L700</v>
      </c>
      <c r="B8620" t="str">
        <f>"Отбойник пятой двери"</f>
        <v>Отбойник пятой двери</v>
      </c>
      <c r="C8620">
        <v>0</v>
      </c>
      <c r="D8620">
        <v>102</v>
      </c>
    </row>
    <row r="8621" spans="1:4">
      <c r="A8621" t="str">
        <f>"90878-58J10"</f>
        <v>90878-58J10</v>
      </c>
      <c r="B8621" t="str">
        <f>"BUMPER B/DOOR"</f>
        <v>BUMPER B/DOOR</v>
      </c>
      <c r="C8621">
        <v>1</v>
      </c>
      <c r="D8621">
        <v>130.56</v>
      </c>
    </row>
    <row r="8622" spans="1:4">
      <c r="A8622" t="str">
        <f>"90878-AX600"</f>
        <v>90878-AX600</v>
      </c>
      <c r="B8622" t="str">
        <f>"BUMPER RUBBER"</f>
        <v>BUMPER RUBBER</v>
      </c>
      <c r="C8622">
        <v>10</v>
      </c>
      <c r="D8622">
        <v>120.768</v>
      </c>
    </row>
    <row r="8623" spans="1:4">
      <c r="A8623" t="str">
        <f>"90878-CA01A"</f>
        <v>90878-CA01A</v>
      </c>
      <c r="B8623" t="str">
        <f>"Отбойник пятой двери"</f>
        <v>Отбойник пятой двери</v>
      </c>
      <c r="C8623">
        <v>9</v>
      </c>
      <c r="D8623">
        <v>119.544</v>
      </c>
    </row>
    <row r="8624" spans="1:4">
      <c r="A8624" t="str">
        <f>"90878-CA02A"</f>
        <v>90878-CA02A</v>
      </c>
      <c r="B8624" t="str">
        <f>"Отбойник пятой двери"</f>
        <v>Отбойник пятой двери</v>
      </c>
      <c r="C8624">
        <v>0</v>
      </c>
      <c r="D8624">
        <v>120.35999999999999</v>
      </c>
    </row>
    <row r="8625" spans="1:4">
      <c r="A8625" t="str">
        <f>"90878-EB300"</f>
        <v>90878-EB300</v>
      </c>
      <c r="B8625" t="str">
        <f>"Отбойник пятой двери"</f>
        <v>Отбойник пятой двери</v>
      </c>
      <c r="C8625">
        <v>23</v>
      </c>
      <c r="D8625">
        <v>207.672</v>
      </c>
    </row>
    <row r="8626" spans="1:4">
      <c r="A8626" t="str">
        <f>"90880-AU10A"</f>
        <v>90880-AU10A</v>
      </c>
      <c r="B8626" t="str">
        <f>"Кронштейн бампер"</f>
        <v>Кронштейн бампер</v>
      </c>
      <c r="C8626">
        <v>1</v>
      </c>
      <c r="D8626">
        <v>97.103999999999999</v>
      </c>
    </row>
    <row r="8627" spans="1:4">
      <c r="A8627" t="str">
        <f>"90886-VD200"</f>
        <v>90886-VD200</v>
      </c>
      <c r="B8627" t="str">
        <f>"ORNAMENT-REAR"</f>
        <v>ORNAMENT-REAR</v>
      </c>
      <c r="C8627">
        <v>8</v>
      </c>
      <c r="D8627">
        <v>937.17599999999993</v>
      </c>
    </row>
    <row r="8628" spans="1:4">
      <c r="A8628" t="str">
        <f>"90890-1AA0A"</f>
        <v>90890-1AA0A</v>
      </c>
      <c r="B8628" t="str">
        <f>"Эмблема задняя"</f>
        <v>Эмблема задняя</v>
      </c>
      <c r="C8628">
        <v>5</v>
      </c>
      <c r="D8628">
        <v>950.64</v>
      </c>
    </row>
    <row r="8629" spans="1:4">
      <c r="A8629" t="str">
        <f>"90890-AU400"</f>
        <v>90890-AU400</v>
      </c>
      <c r="B8629" t="str">
        <f>"EMBLEM-REAR"</f>
        <v>EMBLEM-REAR</v>
      </c>
      <c r="C8629">
        <v>36</v>
      </c>
      <c r="D8629">
        <v>964.92</v>
      </c>
    </row>
    <row r="8630" spans="1:4">
      <c r="A8630" t="str">
        <f>"90890-AX600"</f>
        <v>90890-AX600</v>
      </c>
      <c r="B8630" t="str">
        <f>"EMBLEM-REAR"</f>
        <v>EMBLEM-REAR</v>
      </c>
      <c r="C8630">
        <v>18</v>
      </c>
      <c r="D8630">
        <v>953.90399999999988</v>
      </c>
    </row>
    <row r="8631" spans="1:4">
      <c r="A8631" t="str">
        <f>"90890-BN700"</f>
        <v>90890-BN700</v>
      </c>
      <c r="B8631" t="str">
        <f>"EMBLEM-REAR"</f>
        <v>EMBLEM-REAR</v>
      </c>
      <c r="C8631">
        <v>1</v>
      </c>
      <c r="D8631">
        <v>1046.9280000000001</v>
      </c>
    </row>
    <row r="8632" spans="1:4">
      <c r="A8632" t="str">
        <f>"90890-CA000"</f>
        <v>90890-CA000</v>
      </c>
      <c r="B8632" t="str">
        <f>"EMBLEM REAR"</f>
        <v>EMBLEM REAR</v>
      </c>
      <c r="C8632">
        <v>8</v>
      </c>
      <c r="D8632">
        <v>913.51199999999994</v>
      </c>
    </row>
    <row r="8633" spans="1:4">
      <c r="A8633" t="str">
        <f>"90890-CN000"</f>
        <v>90890-CN000</v>
      </c>
      <c r="B8633" t="str">
        <f t="shared" ref="B8633:B8638" si="169">"Эмблема задняя"</f>
        <v>Эмблема задняя</v>
      </c>
      <c r="C8633">
        <v>0</v>
      </c>
      <c r="D8633">
        <v>740.11199999999997</v>
      </c>
    </row>
    <row r="8634" spans="1:4">
      <c r="A8634" t="str">
        <f>"90890-EM30A"</f>
        <v>90890-EM30A</v>
      </c>
      <c r="B8634" t="str">
        <f t="shared" si="169"/>
        <v>Эмблема задняя</v>
      </c>
      <c r="C8634">
        <v>6</v>
      </c>
      <c r="D8634">
        <v>657.69600000000003</v>
      </c>
    </row>
    <row r="8635" spans="1:4">
      <c r="A8635" t="str">
        <f>"90890-EM40A"</f>
        <v>90890-EM40A</v>
      </c>
      <c r="B8635" t="str">
        <f t="shared" si="169"/>
        <v>Эмблема задняя</v>
      </c>
      <c r="C8635">
        <v>4</v>
      </c>
      <c r="D8635">
        <v>521.83199999999999</v>
      </c>
    </row>
    <row r="8636" spans="1:4">
      <c r="A8636" t="str">
        <f>"90890-JD00A"</f>
        <v>90890-JD00A</v>
      </c>
      <c r="B8636" t="str">
        <f t="shared" si="169"/>
        <v>Эмблема задняя</v>
      </c>
      <c r="C8636">
        <v>24</v>
      </c>
      <c r="D8636">
        <v>734.4</v>
      </c>
    </row>
    <row r="8637" spans="1:4">
      <c r="A8637" t="str">
        <f>"90891-1BF0A"</f>
        <v>90891-1BF0A</v>
      </c>
      <c r="B8637" t="str">
        <f t="shared" si="169"/>
        <v>Эмблема задняя</v>
      </c>
      <c r="C8637">
        <v>0</v>
      </c>
      <c r="D8637">
        <v>929.42399999999998</v>
      </c>
    </row>
    <row r="8638" spans="1:4">
      <c r="A8638" t="str">
        <f>"90891-1CJ0A"</f>
        <v>90891-1CJ0A</v>
      </c>
      <c r="B8638" t="str">
        <f t="shared" si="169"/>
        <v>Эмблема задняя</v>
      </c>
      <c r="C8638">
        <v>9</v>
      </c>
      <c r="D8638">
        <v>928.60799999999995</v>
      </c>
    </row>
    <row r="8639" spans="1:4">
      <c r="A8639" t="str">
        <f>"90891-CG000"</f>
        <v>90891-CG000</v>
      </c>
      <c r="B8639" t="str">
        <f>"EMBLEM-REAR"</f>
        <v>EMBLEM-REAR</v>
      </c>
      <c r="C8639">
        <v>14</v>
      </c>
      <c r="D8639">
        <v>1062.0239999999999</v>
      </c>
    </row>
    <row r="8640" spans="1:4">
      <c r="A8640" t="str">
        <f>"90891-CM80A"</f>
        <v>90891-CM80A</v>
      </c>
      <c r="B8640" t="str">
        <f>"Эмблема задняя"</f>
        <v>Эмблема задняя</v>
      </c>
      <c r="C8640">
        <v>10</v>
      </c>
      <c r="D8640">
        <v>936.76799999999992</v>
      </c>
    </row>
    <row r="8641" spans="1:4">
      <c r="A8641" t="str">
        <f>"90891-EB300"</f>
        <v>90891-EB300</v>
      </c>
      <c r="B8641" t="str">
        <f>"EMBLEM-REAR"</f>
        <v>EMBLEM-REAR</v>
      </c>
      <c r="C8641">
        <v>11</v>
      </c>
      <c r="D8641">
        <v>1464.3119999999999</v>
      </c>
    </row>
    <row r="8642" spans="1:4">
      <c r="A8642" t="str">
        <f>"90892-1KA0A"</f>
        <v>90892-1KA0A</v>
      </c>
      <c r="B8642" t="str">
        <f>"Эмблема задняя"</f>
        <v>Эмблема задняя</v>
      </c>
      <c r="C8642">
        <v>0</v>
      </c>
      <c r="D8642">
        <v>1156.2719999999999</v>
      </c>
    </row>
    <row r="8643" spans="1:4">
      <c r="A8643" t="str">
        <f>"90892-9U000"</f>
        <v>90892-9U000</v>
      </c>
      <c r="B8643" t="str">
        <f>"Эмблема задняя"</f>
        <v>Эмблема задняя</v>
      </c>
      <c r="C8643">
        <v>12</v>
      </c>
      <c r="D8643">
        <v>1043.664</v>
      </c>
    </row>
    <row r="8644" spans="1:4">
      <c r="A8644" t="str">
        <f>"90892-AX600"</f>
        <v>90892-AX600</v>
      </c>
      <c r="B8644" t="str">
        <f>"EMBLEM-REAR"</f>
        <v>EMBLEM-REAR</v>
      </c>
      <c r="C8644">
        <v>9</v>
      </c>
      <c r="D8644">
        <v>1013.8799999999999</v>
      </c>
    </row>
    <row r="8645" spans="1:4">
      <c r="A8645" t="str">
        <f>"90892-EM30A"</f>
        <v>90892-EM30A</v>
      </c>
      <c r="B8645" t="str">
        <f t="shared" ref="B8645:B8650" si="170">"Эмблема задняя"</f>
        <v>Эмблема задняя</v>
      </c>
      <c r="C8645">
        <v>15</v>
      </c>
      <c r="D8645">
        <v>850.27199999999993</v>
      </c>
    </row>
    <row r="8646" spans="1:4">
      <c r="A8646" t="str">
        <f>"90892-EM40A"</f>
        <v>90892-EM40A</v>
      </c>
      <c r="B8646" t="str">
        <f t="shared" si="170"/>
        <v>Эмблема задняя</v>
      </c>
      <c r="C8646">
        <v>1</v>
      </c>
      <c r="D8646">
        <v>777.64799999999991</v>
      </c>
    </row>
    <row r="8647" spans="1:4">
      <c r="A8647" t="str">
        <f>"90892-EY10A"</f>
        <v>90892-EY10A</v>
      </c>
      <c r="B8647" t="str">
        <f t="shared" si="170"/>
        <v>Эмблема задняя</v>
      </c>
      <c r="C8647">
        <v>1</v>
      </c>
      <c r="D8647">
        <v>1593.6479999999999</v>
      </c>
    </row>
    <row r="8648" spans="1:4">
      <c r="A8648" t="str">
        <f>"90892-JD000"</f>
        <v>90892-JD000</v>
      </c>
      <c r="B8648" t="str">
        <f t="shared" si="170"/>
        <v>Эмблема задняя</v>
      </c>
      <c r="C8648">
        <v>7</v>
      </c>
      <c r="D8648">
        <v>749.49599999999998</v>
      </c>
    </row>
    <row r="8649" spans="1:4">
      <c r="A8649" t="str">
        <f>"90894-1AA0A"</f>
        <v>90894-1AA0A</v>
      </c>
      <c r="B8649" t="str">
        <f t="shared" si="170"/>
        <v>Эмблема задняя</v>
      </c>
      <c r="C8649">
        <v>6</v>
      </c>
      <c r="D8649">
        <v>1595.6879999999999</v>
      </c>
    </row>
    <row r="8650" spans="1:4">
      <c r="A8650" t="str">
        <f>"90894-CC00A"</f>
        <v>90894-CC00A</v>
      </c>
      <c r="B8650" t="str">
        <f t="shared" si="170"/>
        <v>Эмблема задняя</v>
      </c>
      <c r="C8650">
        <v>10</v>
      </c>
      <c r="D8650">
        <v>1383.9359999999999</v>
      </c>
    </row>
    <row r="8651" spans="1:4">
      <c r="A8651" t="str">
        <f>"90895-BN700"</f>
        <v>90895-BN700</v>
      </c>
      <c r="B8651" t="str">
        <f>"EMBLEM-REAR"</f>
        <v>EMBLEM-REAR</v>
      </c>
      <c r="C8651">
        <v>7</v>
      </c>
      <c r="D8651">
        <v>1250.1119999999999</v>
      </c>
    </row>
    <row r="8652" spans="1:4">
      <c r="A8652" t="str">
        <f>"90895-VB020"</f>
        <v>90895-VB020</v>
      </c>
      <c r="B8652" t="str">
        <f>"EMBLEM-REAR"</f>
        <v>EMBLEM-REAR</v>
      </c>
      <c r="C8652">
        <v>2</v>
      </c>
      <c r="D8652">
        <v>1580.184</v>
      </c>
    </row>
    <row r="8653" spans="1:4">
      <c r="A8653" t="str">
        <f>"90895-VD300"</f>
        <v>90895-VD300</v>
      </c>
      <c r="B8653" t="str">
        <f>"EMBLEM-REAR"</f>
        <v>EMBLEM-REAR</v>
      </c>
      <c r="C8653">
        <v>6</v>
      </c>
      <c r="D8653">
        <v>1738.896</v>
      </c>
    </row>
    <row r="8654" spans="1:4">
      <c r="A8654" t="str">
        <f>"90896-1CJ0A"</f>
        <v>90896-1CJ0A</v>
      </c>
      <c r="B8654" t="str">
        <f>"Эмблема задняя"</f>
        <v>Эмблема задняя</v>
      </c>
      <c r="C8654">
        <v>9</v>
      </c>
      <c r="D8654">
        <v>933.096</v>
      </c>
    </row>
    <row r="8655" spans="1:4">
      <c r="A8655" t="str">
        <f>"90896-CG000"</f>
        <v>90896-CG000</v>
      </c>
      <c r="B8655" t="str">
        <f>"EMBLEM-REAR"</f>
        <v>EMBLEM-REAR</v>
      </c>
      <c r="C8655">
        <v>0</v>
      </c>
      <c r="D8655">
        <v>854.35199999999998</v>
      </c>
    </row>
    <row r="8656" spans="1:4">
      <c r="A8656" t="str">
        <f>"90896-CG200"</f>
        <v>90896-CG200</v>
      </c>
      <c r="B8656" t="str">
        <f>"EMBLEM-REAR"</f>
        <v>EMBLEM-REAR</v>
      </c>
      <c r="C8656">
        <v>3</v>
      </c>
      <c r="D8656">
        <v>1004.496</v>
      </c>
    </row>
    <row r="8657" spans="1:4">
      <c r="A8657" t="str">
        <f>"90896-CM80A"</f>
        <v>90896-CM80A</v>
      </c>
      <c r="B8657" t="str">
        <f>"Эмблема задняя FX35 "</f>
        <v xml:space="preserve">Эмблема задняя FX35 </v>
      </c>
      <c r="C8657">
        <v>1</v>
      </c>
      <c r="D8657">
        <v>954.3119999999999</v>
      </c>
    </row>
    <row r="8658" spans="1:4">
      <c r="A8658" t="str">
        <f>"90896-CM80B"</f>
        <v>90896-CM80B</v>
      </c>
      <c r="B8658" t="str">
        <f>"Эмблема задняя FX45 "</f>
        <v xml:space="preserve">Эмблема задняя FX45 </v>
      </c>
      <c r="C8658">
        <v>2</v>
      </c>
      <c r="D8658">
        <v>956.75999999999988</v>
      </c>
    </row>
    <row r="8659" spans="1:4">
      <c r="A8659" t="str">
        <f>"90897-VC800"</f>
        <v>90897-VC800</v>
      </c>
      <c r="B8659" t="str">
        <f>"LABEL-REAR"</f>
        <v>LABEL-REAR</v>
      </c>
      <c r="C8659">
        <v>1</v>
      </c>
      <c r="D8659">
        <v>463.89599999999996</v>
      </c>
    </row>
    <row r="8660" spans="1:4">
      <c r="A8660" t="str">
        <f>"90898-AE200"</f>
        <v>90898-AE200</v>
      </c>
      <c r="B8660" t="str">
        <f>"Эмблема задняя"</f>
        <v>Эмблема задняя</v>
      </c>
      <c r="C8660">
        <v>8</v>
      </c>
      <c r="D8660">
        <v>685.03200000000004</v>
      </c>
    </row>
    <row r="8661" spans="1:4">
      <c r="A8661" t="str">
        <f>"908A0-JD00A"</f>
        <v>908A0-JD00A</v>
      </c>
      <c r="B8661" t="str">
        <f>"Держатель уплотнител"</f>
        <v>Держатель уплотнител</v>
      </c>
      <c r="C8661">
        <v>37</v>
      </c>
      <c r="D8661">
        <v>87.719999999999985</v>
      </c>
    </row>
    <row r="8662" spans="1:4">
      <c r="A8662" t="str">
        <f>"90900-JD00A"</f>
        <v>90900-JD00A</v>
      </c>
      <c r="B8662" t="str">
        <f t="shared" ref="B8662:B8671" si="171">"Обшивка пятой дв"</f>
        <v>Обшивка пятой дв</v>
      </c>
      <c r="C8662">
        <v>1</v>
      </c>
      <c r="D8662">
        <v>2385.9839999999999</v>
      </c>
    </row>
    <row r="8663" spans="1:4">
      <c r="A8663" t="str">
        <f>"90901-EL00A"</f>
        <v>90901-EL00A</v>
      </c>
      <c r="B8663" t="str">
        <f t="shared" si="171"/>
        <v>Обшивка пятой дв</v>
      </c>
      <c r="C8663">
        <v>8</v>
      </c>
      <c r="D8663">
        <v>4719.3360000000002</v>
      </c>
    </row>
    <row r="8664" spans="1:4">
      <c r="A8664" t="str">
        <f>"90901-JD000"</f>
        <v>90901-JD000</v>
      </c>
      <c r="B8664" t="str">
        <f t="shared" si="171"/>
        <v>Обшивка пятой дв</v>
      </c>
      <c r="C8664">
        <v>0</v>
      </c>
      <c r="D8664">
        <v>6826.2479999999996</v>
      </c>
    </row>
    <row r="8665" spans="1:4">
      <c r="A8665" t="str">
        <f>"90901-JG00D"</f>
        <v>90901-JG00D</v>
      </c>
      <c r="B8665" t="str">
        <f t="shared" si="171"/>
        <v>Обшивка пятой дв</v>
      </c>
      <c r="C8665">
        <v>10</v>
      </c>
      <c r="D8665">
        <v>10638.191999999999</v>
      </c>
    </row>
    <row r="8666" spans="1:4">
      <c r="A8666" t="str">
        <f>"90901-JG00E"</f>
        <v>90901-JG00E</v>
      </c>
      <c r="B8666" t="str">
        <f t="shared" si="171"/>
        <v>Обшивка пятой дв</v>
      </c>
      <c r="C8666">
        <v>3</v>
      </c>
      <c r="D8666">
        <v>10935.216</v>
      </c>
    </row>
    <row r="8667" spans="1:4">
      <c r="A8667" t="str">
        <f>"90901-JG01A"</f>
        <v>90901-JG01A</v>
      </c>
      <c r="B8667" t="str">
        <f t="shared" si="171"/>
        <v>Обшивка пятой дв</v>
      </c>
      <c r="C8667">
        <v>4</v>
      </c>
      <c r="D8667">
        <v>10805.88</v>
      </c>
    </row>
    <row r="8668" spans="1:4">
      <c r="A8668" t="str">
        <f>"90901-JG01C"</f>
        <v>90901-JG01C</v>
      </c>
      <c r="B8668" t="str">
        <f t="shared" si="171"/>
        <v>Обшивка пятой дв</v>
      </c>
      <c r="C8668">
        <v>1</v>
      </c>
      <c r="D8668">
        <v>10564.751999999999</v>
      </c>
    </row>
    <row r="8669" spans="1:4">
      <c r="A8669" t="str">
        <f>"90901-JG01D"</f>
        <v>90901-JG01D</v>
      </c>
      <c r="B8669" t="str">
        <f t="shared" si="171"/>
        <v>Обшивка пятой дв</v>
      </c>
      <c r="C8669">
        <v>8</v>
      </c>
      <c r="D8669">
        <v>10754.063999999998</v>
      </c>
    </row>
    <row r="8670" spans="1:4">
      <c r="A8670" t="str">
        <f>"90901-JG10D"</f>
        <v>90901-JG10D</v>
      </c>
      <c r="B8670" t="str">
        <f t="shared" si="171"/>
        <v>Обшивка пятой дв</v>
      </c>
      <c r="C8670">
        <v>1</v>
      </c>
      <c r="D8670">
        <v>10588.415999999999</v>
      </c>
    </row>
    <row r="8671" spans="1:4">
      <c r="A8671" t="str">
        <f>"90901-JG11D"</f>
        <v>90901-JG11D</v>
      </c>
      <c r="B8671" t="str">
        <f t="shared" si="171"/>
        <v>Обшивка пятой дв</v>
      </c>
      <c r="C8671">
        <v>3</v>
      </c>
      <c r="D8671">
        <v>10962.551999999998</v>
      </c>
    </row>
    <row r="8672" spans="1:4">
      <c r="A8672" t="str">
        <f>"90940-4N000"</f>
        <v>90940-4N000</v>
      </c>
      <c r="B8672" t="str">
        <f>"HANDLE-PULL"</f>
        <v>HANDLE-PULL</v>
      </c>
      <c r="C8672">
        <v>5</v>
      </c>
      <c r="D8672">
        <v>341.904</v>
      </c>
    </row>
    <row r="8673" spans="1:4">
      <c r="A8673" t="str">
        <f>"90940-WA900"</f>
        <v>90940-WA900</v>
      </c>
      <c r="B8673" t="str">
        <f>"Ручка пятой двер"</f>
        <v>Ручка пятой двер</v>
      </c>
      <c r="C8673">
        <v>0</v>
      </c>
      <c r="D8673">
        <v>363.12</v>
      </c>
    </row>
    <row r="8674" spans="1:4">
      <c r="A8674" t="str">
        <f>"90990-VB000"</f>
        <v>90990-VB000</v>
      </c>
      <c r="B8674" t="str">
        <f>"CLIP-TRIM"</f>
        <v>CLIP-TRIM</v>
      </c>
      <c r="C8674">
        <v>0</v>
      </c>
      <c r="D8674">
        <v>29.375999999999998</v>
      </c>
    </row>
    <row r="8675" spans="1:4">
      <c r="A8675" t="str">
        <f>"90990-VD201"</f>
        <v>90990-VD201</v>
      </c>
      <c r="B8675" t="str">
        <f>"Пистон обшивки"</f>
        <v>Пистон обшивки</v>
      </c>
      <c r="C8675">
        <v>5</v>
      </c>
      <c r="D8675">
        <v>35.904000000000003</v>
      </c>
    </row>
    <row r="8676" spans="1:4">
      <c r="A8676" t="str">
        <f>"91210-8H311"</f>
        <v>91210-8H311</v>
      </c>
      <c r="B8676" t="str">
        <f>"LID A-SUNROOF"</f>
        <v>LID A-SUNROOF</v>
      </c>
      <c r="C8676">
        <v>2</v>
      </c>
      <c r="D8676">
        <v>28762.367999999999</v>
      </c>
    </row>
    <row r="8677" spans="1:4">
      <c r="A8677" t="str">
        <f>"91210-CG110"</f>
        <v>91210-CG110</v>
      </c>
      <c r="B8677" t="str">
        <f>"Люк крыши"</f>
        <v>Люк крыши</v>
      </c>
      <c r="C8677">
        <v>2</v>
      </c>
      <c r="D8677">
        <v>31761.167999999998</v>
      </c>
    </row>
    <row r="8678" spans="1:4">
      <c r="A8678" t="str">
        <f>"91210-JG01A"</f>
        <v>91210-JG01A</v>
      </c>
      <c r="B8678" t="str">
        <f>"Люк крыши"</f>
        <v>Люк крыши</v>
      </c>
      <c r="C8678">
        <v>5</v>
      </c>
      <c r="D8678">
        <v>36283.847999999998</v>
      </c>
    </row>
    <row r="8679" spans="1:4">
      <c r="A8679" t="str">
        <f>"91295-ES89E"</f>
        <v>91295-ES89E</v>
      </c>
      <c r="B8679" t="str">
        <f>"Мотор люка крыши"</f>
        <v>Мотор люка крыши</v>
      </c>
      <c r="C8679">
        <v>3</v>
      </c>
      <c r="D8679">
        <v>11357.904</v>
      </c>
    </row>
    <row r="8680" spans="1:4">
      <c r="A8680" t="str">
        <f>"91318-JD05A"</f>
        <v>91318-JD05A</v>
      </c>
      <c r="B8680" t="str">
        <f>"Кронштейн люка"</f>
        <v>Кронштейн люка</v>
      </c>
      <c r="C8680">
        <v>6</v>
      </c>
      <c r="D8680">
        <v>571.19999999999993</v>
      </c>
    </row>
    <row r="8681" spans="1:4">
      <c r="A8681" t="str">
        <f>"91356-79900"</f>
        <v>91356-79900</v>
      </c>
      <c r="B8681" t="str">
        <f>"КРЫШКА"</f>
        <v>КРЫШКА</v>
      </c>
      <c r="C8681">
        <v>7</v>
      </c>
      <c r="D8681">
        <v>75.47999999999999</v>
      </c>
    </row>
    <row r="8682" spans="1:4">
      <c r="A8682" t="str">
        <f>"91360-7S010"</f>
        <v>91360-7S010</v>
      </c>
      <c r="B8682" t="str">
        <f>"ДРЕНАЖ"</f>
        <v>ДРЕНАЖ</v>
      </c>
      <c r="C8682">
        <v>1</v>
      </c>
      <c r="D8682">
        <v>1649.5439999999999</v>
      </c>
    </row>
    <row r="8683" spans="1:4">
      <c r="A8683" t="str">
        <f>"91390-1P100"</f>
        <v>91390-1P100</v>
      </c>
      <c r="B8683" t="str">
        <f>"ШЛАНГ"</f>
        <v>ШЛАНГ</v>
      </c>
      <c r="C8683">
        <v>2</v>
      </c>
      <c r="D8683">
        <v>547.12799999999993</v>
      </c>
    </row>
    <row r="8684" spans="1:4">
      <c r="A8684" t="str">
        <f>"91390-2Y000"</f>
        <v>91390-2Y000</v>
      </c>
      <c r="B8684" t="str">
        <f>"ШЛАНГ"</f>
        <v>ШЛАНГ</v>
      </c>
      <c r="C8684">
        <v>1</v>
      </c>
      <c r="D8684">
        <v>342.72</v>
      </c>
    </row>
    <row r="8685" spans="1:4">
      <c r="A8685" t="str">
        <f>"91392-2Y000"</f>
        <v>91392-2Y000</v>
      </c>
      <c r="B8685" t="str">
        <f>"ШЛАНГ"</f>
        <v>ШЛАНГ</v>
      </c>
      <c r="C8685">
        <v>1</v>
      </c>
      <c r="D8685">
        <v>338.23200000000003</v>
      </c>
    </row>
    <row r="8686" spans="1:4">
      <c r="A8686" t="str">
        <f>"92100-9FD0A"</f>
        <v>92100-9FD0A</v>
      </c>
      <c r="B8686" t="str">
        <f>"Радиатор кондиционер"</f>
        <v>Радиатор кондиционер</v>
      </c>
      <c r="C8686">
        <v>1</v>
      </c>
      <c r="D8686">
        <v>13333.44</v>
      </c>
    </row>
    <row r="8687" spans="1:4">
      <c r="A8687" t="str">
        <f>"92100-9H21A"</f>
        <v>92100-9H21A</v>
      </c>
      <c r="B8687" t="str">
        <f>"Радиатор кондиционер"</f>
        <v>Радиатор кондиционер</v>
      </c>
      <c r="C8687">
        <v>11</v>
      </c>
      <c r="D8687">
        <v>17087.448</v>
      </c>
    </row>
    <row r="8688" spans="1:4">
      <c r="A8688" t="str">
        <f>"92100-9Y01A"</f>
        <v>92100-9Y01A</v>
      </c>
      <c r="B8688" t="str">
        <f>"Радиатор кондиционер"</f>
        <v>Радиатор кондиционер</v>
      </c>
      <c r="C8688">
        <v>0</v>
      </c>
      <c r="D8688">
        <v>18201.288</v>
      </c>
    </row>
    <row r="8689" spans="1:4">
      <c r="A8689" t="str">
        <f>"92100-BH40A"</f>
        <v>92100-BH40A</v>
      </c>
      <c r="B8689" t="str">
        <f>"Радиатор кондиционер"</f>
        <v>Радиатор кондиционер</v>
      </c>
      <c r="C8689">
        <v>5</v>
      </c>
      <c r="D8689">
        <v>16717.392</v>
      </c>
    </row>
    <row r="8690" spans="1:4">
      <c r="A8690" t="str">
        <f>"92100-BM407"</f>
        <v>92100-BM407</v>
      </c>
      <c r="B8690" t="str">
        <f>"CONDENSER &amp; LIQ"</f>
        <v>CONDENSER &amp; LIQ</v>
      </c>
      <c r="C8690">
        <v>6</v>
      </c>
      <c r="D8690">
        <v>13021.32</v>
      </c>
    </row>
    <row r="8691" spans="1:4">
      <c r="A8691" t="str">
        <f>"92100-CG010"</f>
        <v>92100-CG010</v>
      </c>
      <c r="B8691" t="str">
        <f>"COND &amp; LIQUID"</f>
        <v>COND &amp; LIQUID</v>
      </c>
      <c r="C8691">
        <v>6</v>
      </c>
      <c r="D8691">
        <v>17827.151999999998</v>
      </c>
    </row>
    <row r="8692" spans="1:4">
      <c r="A8692" t="str">
        <f>"92100-EB01A"</f>
        <v>92100-EB01A</v>
      </c>
      <c r="B8692" t="str">
        <f t="shared" ref="B8692:B8699" si="172">"Радиатор кондиционер"</f>
        <v>Радиатор кондиционер</v>
      </c>
      <c r="C8692">
        <v>4</v>
      </c>
      <c r="D8692">
        <v>21486.911999999997</v>
      </c>
    </row>
    <row r="8693" spans="1:4">
      <c r="A8693" t="str">
        <f>"92100-JD20A"</f>
        <v>92100-JD20A</v>
      </c>
      <c r="B8693" t="str">
        <f t="shared" si="172"/>
        <v>Радиатор кондиционер</v>
      </c>
      <c r="C8693">
        <v>3</v>
      </c>
      <c r="D8693">
        <v>15900.983999999999</v>
      </c>
    </row>
    <row r="8694" spans="1:4">
      <c r="A8694" t="str">
        <f>"92100-JG000"</f>
        <v>92100-JG000</v>
      </c>
      <c r="B8694" t="str">
        <f t="shared" si="172"/>
        <v>Радиатор кондиционер</v>
      </c>
      <c r="C8694">
        <v>22</v>
      </c>
      <c r="D8694">
        <v>14441.975999999999</v>
      </c>
    </row>
    <row r="8695" spans="1:4">
      <c r="A8695" t="str">
        <f>"92100-JN00A"</f>
        <v>92100-JN00A</v>
      </c>
      <c r="B8695" t="str">
        <f t="shared" si="172"/>
        <v>Радиатор кондиционер</v>
      </c>
      <c r="C8695">
        <v>0</v>
      </c>
      <c r="D8695">
        <v>19827.575999999997</v>
      </c>
    </row>
    <row r="8696" spans="1:4">
      <c r="A8696" t="str">
        <f>"92100-ZW40D"</f>
        <v>92100-ZW40D</v>
      </c>
      <c r="B8696" t="str">
        <f t="shared" si="172"/>
        <v>Радиатор кондиционер</v>
      </c>
      <c r="C8696">
        <v>0</v>
      </c>
      <c r="D8696">
        <v>14211.048000000001</v>
      </c>
    </row>
    <row r="8697" spans="1:4">
      <c r="A8697" t="str">
        <f>"92110-1BA0A"</f>
        <v>92110-1BA0A</v>
      </c>
      <c r="B8697" t="str">
        <f t="shared" si="172"/>
        <v>Радиатор кондиционер</v>
      </c>
      <c r="C8697">
        <v>1</v>
      </c>
      <c r="D8697">
        <v>16372.632</v>
      </c>
    </row>
    <row r="8698" spans="1:4">
      <c r="A8698" t="str">
        <f>"92110-2Y91A"</f>
        <v>92110-2Y91A</v>
      </c>
      <c r="B8698" t="str">
        <f t="shared" si="172"/>
        <v>Радиатор кондиционер</v>
      </c>
      <c r="C8698">
        <v>2</v>
      </c>
      <c r="D8698">
        <v>13419.528</v>
      </c>
    </row>
    <row r="8699" spans="1:4">
      <c r="A8699" t="str">
        <f>"92110-9Y01A"</f>
        <v>92110-9Y01A</v>
      </c>
      <c r="B8699" t="str">
        <f t="shared" si="172"/>
        <v>Радиатор кондиционер</v>
      </c>
      <c r="C8699">
        <v>7</v>
      </c>
      <c r="D8699">
        <v>15694.536</v>
      </c>
    </row>
    <row r="8700" spans="1:4">
      <c r="A8700" t="str">
        <f>"92110-BM400"</f>
        <v>92110-BM400</v>
      </c>
      <c r="B8700" t="str">
        <f>"CONDENSER ASSY"</f>
        <v>CONDENSER ASSY</v>
      </c>
      <c r="C8700">
        <v>1</v>
      </c>
      <c r="D8700">
        <v>8441.1119999999992</v>
      </c>
    </row>
    <row r="8701" spans="1:4">
      <c r="A8701" t="str">
        <f>"92110-CN000"</f>
        <v>92110-CN000</v>
      </c>
      <c r="B8701" t="str">
        <f>"Радиатор кондиционер"</f>
        <v>Радиатор кондиционер</v>
      </c>
      <c r="C8701">
        <v>4</v>
      </c>
      <c r="D8701">
        <v>12785.904</v>
      </c>
    </row>
    <row r="8702" spans="1:4">
      <c r="A8702" t="str">
        <f>"92110-JN00A"</f>
        <v>92110-JN00A</v>
      </c>
      <c r="B8702" t="str">
        <f>"Радиатор кондиционер"</f>
        <v>Радиатор кондиционер</v>
      </c>
      <c r="C8702">
        <v>2</v>
      </c>
      <c r="D8702">
        <v>14503.175999999999</v>
      </c>
    </row>
    <row r="8703" spans="1:4">
      <c r="A8703" t="str">
        <f>"92110-VB010"</f>
        <v>92110-VB010</v>
      </c>
      <c r="B8703" t="str">
        <f>"CONDENSER ASSY"</f>
        <v>CONDENSER ASSY</v>
      </c>
      <c r="C8703">
        <v>1</v>
      </c>
      <c r="D8703">
        <v>12240.407999999999</v>
      </c>
    </row>
    <row r="8704" spans="1:4">
      <c r="A8704" t="str">
        <f>"92110-VS41A"</f>
        <v>92110-VS41A</v>
      </c>
      <c r="B8704" t="str">
        <f>"Радиатор кондиционер"</f>
        <v>Радиатор кондиционер</v>
      </c>
      <c r="C8704">
        <v>3</v>
      </c>
      <c r="D8704">
        <v>12419.111999999999</v>
      </c>
    </row>
    <row r="8705" spans="1:4">
      <c r="A8705" t="str">
        <f>"92112-95F0A"</f>
        <v>92112-95F0A</v>
      </c>
      <c r="B8705" t="str">
        <f>"Кронштейн радиатора "</f>
        <v xml:space="preserve">Кронштейн радиатора </v>
      </c>
      <c r="C8705">
        <v>5</v>
      </c>
      <c r="D8705">
        <v>250.51199999999997</v>
      </c>
    </row>
    <row r="8706" spans="1:4">
      <c r="A8706" t="str">
        <f>"92112-95F0B"</f>
        <v>92112-95F0B</v>
      </c>
      <c r="B8706" t="str">
        <f>"Кронштейн радиатора "</f>
        <v xml:space="preserve">Кронштейн радиатора </v>
      </c>
      <c r="C8706">
        <v>4</v>
      </c>
      <c r="D8706">
        <v>246.43200000000002</v>
      </c>
    </row>
    <row r="8707" spans="1:4">
      <c r="A8707" t="str">
        <f>"92112-BM411"</f>
        <v>92112-BM411</v>
      </c>
      <c r="B8707" t="str">
        <f>"BRACKET ASSY-CO"</f>
        <v>BRACKET ASSY-CO</v>
      </c>
      <c r="C8707">
        <v>0</v>
      </c>
      <c r="D8707">
        <v>1065.6959999999999</v>
      </c>
    </row>
    <row r="8708" spans="1:4">
      <c r="A8708" t="str">
        <f>"92112-JG000"</f>
        <v>92112-JG000</v>
      </c>
      <c r="B8708" t="str">
        <f>"Кронштейн радиатора "</f>
        <v xml:space="preserve">Кронштейн радиатора </v>
      </c>
      <c r="C8708">
        <v>16</v>
      </c>
      <c r="D8708">
        <v>237.04799999999997</v>
      </c>
    </row>
    <row r="8709" spans="1:4">
      <c r="A8709" t="str">
        <f>"92113-JG00A"</f>
        <v>92113-JG00A</v>
      </c>
      <c r="B8709" t="str">
        <f>"Кронштейн радиатора "</f>
        <v xml:space="preserve">Кронштейн радиатора </v>
      </c>
      <c r="C8709">
        <v>11</v>
      </c>
      <c r="D8709">
        <v>237.86399999999998</v>
      </c>
    </row>
    <row r="8710" spans="1:4">
      <c r="A8710" t="str">
        <f>"92114-95F0A"</f>
        <v>92114-95F0A</v>
      </c>
      <c r="B8710" t="str">
        <f>"Кронштейн радиатора "</f>
        <v xml:space="preserve">Кронштейн радиатора </v>
      </c>
      <c r="C8710">
        <v>1</v>
      </c>
      <c r="D8710">
        <v>155.85599999999999</v>
      </c>
    </row>
    <row r="8711" spans="1:4">
      <c r="A8711" t="str">
        <f>"92114-95F0B"</f>
        <v>92114-95F0B</v>
      </c>
      <c r="B8711" t="str">
        <f>"Кронштейн радиатора "</f>
        <v xml:space="preserve">Кронштейн радиатора </v>
      </c>
      <c r="C8711">
        <v>3</v>
      </c>
      <c r="D8711">
        <v>155.85599999999999</v>
      </c>
    </row>
    <row r="8712" spans="1:4">
      <c r="A8712" t="str">
        <f>"92114-AW000"</f>
        <v>92114-AW000</v>
      </c>
      <c r="B8712" t="str">
        <f>"BRACKET-CONDENS"</f>
        <v>BRACKET-CONDENS</v>
      </c>
      <c r="C8712">
        <v>1</v>
      </c>
      <c r="D8712">
        <v>114.24</v>
      </c>
    </row>
    <row r="8713" spans="1:4">
      <c r="A8713" t="str">
        <f>"92114-AW010"</f>
        <v>92114-AW010</v>
      </c>
      <c r="B8713" t="str">
        <f>"BRACKET-CONDENS"</f>
        <v>BRACKET-CONDENS</v>
      </c>
      <c r="C8713">
        <v>3</v>
      </c>
      <c r="D8713">
        <v>119.95199999999998</v>
      </c>
    </row>
    <row r="8714" spans="1:4">
      <c r="A8714" t="str">
        <f>"92118-95F0A"</f>
        <v>92118-95F0A</v>
      </c>
      <c r="B8714" t="str">
        <f>"Подушка радиатора ко"</f>
        <v>Подушка радиатора ко</v>
      </c>
      <c r="C8714">
        <v>7</v>
      </c>
      <c r="D8714">
        <v>84.048000000000002</v>
      </c>
    </row>
    <row r="8715" spans="1:4">
      <c r="A8715" t="str">
        <f>"92120-9GA0A"</f>
        <v>92120-9GA0A</v>
      </c>
      <c r="B8715" t="str">
        <f>"Кожух вентилятора в "</f>
        <v xml:space="preserve">Кожух вентилятора в </v>
      </c>
      <c r="C8715">
        <v>3</v>
      </c>
      <c r="D8715">
        <v>6824.616</v>
      </c>
    </row>
    <row r="8716" spans="1:4">
      <c r="A8716" t="str">
        <f>"92120-EB400"</f>
        <v>92120-EB400</v>
      </c>
      <c r="B8716" t="str">
        <f>"Мотор в сборе с вент"</f>
        <v>Мотор в сборе с вент</v>
      </c>
      <c r="C8716">
        <v>3</v>
      </c>
      <c r="D8716">
        <v>15080.495999999999</v>
      </c>
    </row>
    <row r="8717" spans="1:4">
      <c r="A8717" t="str">
        <f>"92121-10Y00"</f>
        <v>92121-10Y00</v>
      </c>
      <c r="B8717" t="str">
        <f>"FAN-CONDENSOR"</f>
        <v>FAN-CONDENSOR</v>
      </c>
      <c r="C8717">
        <v>3</v>
      </c>
      <c r="D8717">
        <v>1291.7280000000001</v>
      </c>
    </row>
    <row r="8718" spans="1:4">
      <c r="A8718" t="str">
        <f>"92121-66U01"</f>
        <v>92121-66U01</v>
      </c>
      <c r="B8718" t="str">
        <f>"FAN-CONDENSER"</f>
        <v>FAN-CONDENSER</v>
      </c>
      <c r="C8718">
        <v>2</v>
      </c>
      <c r="D8718">
        <v>1276.2239999999999</v>
      </c>
    </row>
    <row r="8719" spans="1:4">
      <c r="A8719" t="str">
        <f>"92123-VB000"</f>
        <v>92123-VB000</v>
      </c>
      <c r="B8719" t="str">
        <f>"SHROUD-CONDENSE"</f>
        <v>SHROUD-CONDENSE</v>
      </c>
      <c r="C8719">
        <v>3</v>
      </c>
      <c r="D8719">
        <v>2790.3120000000004</v>
      </c>
    </row>
    <row r="8720" spans="1:4">
      <c r="A8720" t="str">
        <f>"92131-AU420"</f>
        <v>92131-AU420</v>
      </c>
      <c r="B8720" t="str">
        <f>"TANK ASSY-LIQUI"</f>
        <v>TANK ASSY-LIQUI</v>
      </c>
      <c r="C8720">
        <v>0</v>
      </c>
      <c r="D8720">
        <v>4075.1039999999998</v>
      </c>
    </row>
    <row r="8721" spans="1:4">
      <c r="A8721" t="str">
        <f>"92132-89914"</f>
        <v>92132-89914</v>
      </c>
      <c r="B8721" t="str">
        <f>"Бачок осушителя"</f>
        <v>Бачок осушителя</v>
      </c>
      <c r="C8721">
        <v>1</v>
      </c>
      <c r="D8721">
        <v>3794.3999999999996</v>
      </c>
    </row>
    <row r="8722" spans="1:4">
      <c r="A8722" t="str">
        <f>"92136-1FA0A"</f>
        <v>92136-1FA0A</v>
      </c>
      <c r="B8722" t="str">
        <f>"Датчик давления сист"</f>
        <v>Датчик давления сист</v>
      </c>
      <c r="C8722">
        <v>6</v>
      </c>
      <c r="D8722">
        <v>2373.7439999999997</v>
      </c>
    </row>
    <row r="8723" spans="1:4">
      <c r="A8723" t="str">
        <f>"92136-95F0B"</f>
        <v>92136-95F0B</v>
      </c>
      <c r="B8723" t="str">
        <f>"Датчик давления сист"</f>
        <v>Датчик давления сист</v>
      </c>
      <c r="C8723">
        <v>0</v>
      </c>
      <c r="D8723">
        <v>1897.1999999999998</v>
      </c>
    </row>
    <row r="8724" spans="1:4">
      <c r="A8724" t="str">
        <f>"92136-AA000"</f>
        <v>92136-AA000</v>
      </c>
      <c r="B8724" t="str">
        <f>"Датчик давления в си"</f>
        <v>Датчик давления в си</v>
      </c>
      <c r="C8724">
        <v>0</v>
      </c>
      <c r="D8724">
        <v>2518.5840000000003</v>
      </c>
    </row>
    <row r="8725" spans="1:4">
      <c r="A8725" t="str">
        <f>"92137-3J100"</f>
        <v>92137-3J100</v>
      </c>
      <c r="B8725" t="str">
        <f>"SWITCH ASSY-PRE"</f>
        <v>SWITCH ASSY-PRE</v>
      </c>
      <c r="C8725">
        <v>1</v>
      </c>
      <c r="D8725">
        <v>1117.5119999999999</v>
      </c>
    </row>
    <row r="8726" spans="1:4">
      <c r="A8726" t="str">
        <f>"92137-4S100"</f>
        <v>92137-4S100</v>
      </c>
      <c r="B8726" t="str">
        <f>"Датчик давления сист"</f>
        <v>Датчик давления сист</v>
      </c>
      <c r="C8726">
        <v>4</v>
      </c>
      <c r="D8726">
        <v>1742.9759999999999</v>
      </c>
    </row>
    <row r="8727" spans="1:4">
      <c r="A8727" t="str">
        <f>"92184-9W50A"</f>
        <v>92184-9W50A</v>
      </c>
      <c r="B8727" t="str">
        <f>"Направляющая воздушн"</f>
        <v>Направляющая воздушн</v>
      </c>
      <c r="C8727">
        <v>6</v>
      </c>
      <c r="D8727">
        <v>581.80799999999999</v>
      </c>
    </row>
    <row r="8728" spans="1:4">
      <c r="A8728" t="str">
        <f>"92184-JN20A"</f>
        <v>92184-JN20A</v>
      </c>
      <c r="B8728" t="str">
        <f>"Кожух радиатора конд"</f>
        <v>Кожух радиатора конд</v>
      </c>
      <c r="C8728">
        <v>5</v>
      </c>
      <c r="D8728">
        <v>940.03199999999993</v>
      </c>
    </row>
    <row r="8729" spans="1:4">
      <c r="A8729" t="str">
        <f>"92185-9W50A"</f>
        <v>92185-9W50A</v>
      </c>
      <c r="B8729" t="str">
        <f>"Кожух радиатора конд"</f>
        <v>Кожух радиатора конд</v>
      </c>
      <c r="C8729">
        <v>7</v>
      </c>
      <c r="D8729">
        <v>552.024</v>
      </c>
    </row>
    <row r="8730" spans="1:4">
      <c r="A8730" t="str">
        <f>"92185-JN20A"</f>
        <v>92185-JN20A</v>
      </c>
      <c r="B8730" t="str">
        <f>"Кожух радиатора конд"</f>
        <v>Кожух радиатора конд</v>
      </c>
      <c r="C8730">
        <v>22</v>
      </c>
      <c r="D8730">
        <v>972.67199999999991</v>
      </c>
    </row>
    <row r="8731" spans="1:4">
      <c r="A8731" t="str">
        <f>"92410-6F624"</f>
        <v>92410-6F624</v>
      </c>
      <c r="B8731" t="str">
        <f>"HOSE-HEATER,OUT"</f>
        <v>HOSE-HEATER,OUT</v>
      </c>
      <c r="C8731">
        <v>2</v>
      </c>
      <c r="D8731">
        <v>549.16800000000001</v>
      </c>
    </row>
    <row r="8732" spans="1:4">
      <c r="A8732" t="str">
        <f>"92440-2F100"</f>
        <v>92440-2F100</v>
      </c>
      <c r="B8732" t="str">
        <f>"PIPE-FRONT COOL"</f>
        <v>PIPE-FRONT COOL</v>
      </c>
      <c r="C8732">
        <v>0</v>
      </c>
      <c r="D8732">
        <v>2600.5919999999996</v>
      </c>
    </row>
    <row r="8733" spans="1:4">
      <c r="A8733" t="str">
        <f>"92440-2Y900"</f>
        <v>92440-2Y900</v>
      </c>
      <c r="B8733" t="str">
        <f>"PIPE-FRONT"</f>
        <v>PIPE-FRONT</v>
      </c>
      <c r="C8733">
        <v>3</v>
      </c>
      <c r="D8733">
        <v>3082.0320000000002</v>
      </c>
    </row>
    <row r="8734" spans="1:4">
      <c r="A8734" t="str">
        <f>"92440-2Y90A"</f>
        <v>92440-2Y90A</v>
      </c>
      <c r="B8734" t="str">
        <f>"Трубка кондицион"</f>
        <v>Трубка кондицион</v>
      </c>
      <c r="C8734">
        <v>2</v>
      </c>
      <c r="D8734">
        <v>4043.6879999999996</v>
      </c>
    </row>
    <row r="8735" spans="1:4">
      <c r="A8735" t="str">
        <f>"92440-95F0A"</f>
        <v>92440-95F0A</v>
      </c>
      <c r="B8735" t="str">
        <f>"Трубка кондицион"</f>
        <v>Трубка кондицион</v>
      </c>
      <c r="C8735">
        <v>9</v>
      </c>
      <c r="D8735">
        <v>1836</v>
      </c>
    </row>
    <row r="8736" spans="1:4">
      <c r="A8736" t="str">
        <f>"92440-9U100"</f>
        <v>92440-9U100</v>
      </c>
      <c r="B8736" t="str">
        <f>"Трубка кондицион"</f>
        <v>Трубка кондицион</v>
      </c>
      <c r="C8736">
        <v>2</v>
      </c>
      <c r="D8736">
        <v>2992.2719999999999</v>
      </c>
    </row>
    <row r="8737" spans="1:4">
      <c r="A8737" t="str">
        <f>"92440-AU101"</f>
        <v>92440-AU101</v>
      </c>
      <c r="B8737" t="str">
        <f>"PIPE-FRONT COOL"</f>
        <v>PIPE-FRONT COOL</v>
      </c>
      <c r="C8737">
        <v>0</v>
      </c>
      <c r="D8737">
        <v>1433.712</v>
      </c>
    </row>
    <row r="8738" spans="1:4">
      <c r="A8738" t="str">
        <f>"92440-AX803"</f>
        <v>92440-AX803</v>
      </c>
      <c r="B8738" t="str">
        <f>"PIPE-FRONT COOL"</f>
        <v>PIPE-FRONT COOL</v>
      </c>
      <c r="C8738">
        <v>6</v>
      </c>
      <c r="D8738">
        <v>2770.7280000000001</v>
      </c>
    </row>
    <row r="8739" spans="1:4">
      <c r="A8739" t="str">
        <f>"92440-BN900"</f>
        <v>92440-BN900</v>
      </c>
      <c r="B8739" t="str">
        <f>"PIPE-FRONT COOL"</f>
        <v>PIPE-FRONT COOL</v>
      </c>
      <c r="C8739">
        <v>0</v>
      </c>
      <c r="D8739">
        <v>3196.2719999999999</v>
      </c>
    </row>
    <row r="8740" spans="1:4">
      <c r="A8740" t="str">
        <f>"92440-CG000"</f>
        <v>92440-CG000</v>
      </c>
      <c r="B8740" t="str">
        <f>"PIPE-FRONT"</f>
        <v>PIPE-FRONT</v>
      </c>
      <c r="C8740">
        <v>1</v>
      </c>
      <c r="D8740">
        <v>2230.944</v>
      </c>
    </row>
    <row r="8741" spans="1:4">
      <c r="A8741" t="str">
        <f>"92440-EQ100"</f>
        <v>92440-EQ100</v>
      </c>
      <c r="B8741" t="str">
        <f>"PIPE-FRONT"</f>
        <v>PIPE-FRONT</v>
      </c>
      <c r="C8741">
        <v>5</v>
      </c>
      <c r="D8741">
        <v>2154.6479999999997</v>
      </c>
    </row>
    <row r="8742" spans="1:4">
      <c r="A8742" t="str">
        <f>"92440-JD01B"</f>
        <v>92440-JD01B</v>
      </c>
      <c r="B8742" t="str">
        <f>"Трубка кондицион"</f>
        <v>Трубка кондицион</v>
      </c>
      <c r="C8742">
        <v>0</v>
      </c>
      <c r="D8742">
        <v>2795.6159999999995</v>
      </c>
    </row>
    <row r="8743" spans="1:4">
      <c r="A8743" t="str">
        <f>"92446-1BH0B"</f>
        <v>92446-1BH0B</v>
      </c>
      <c r="B8743" t="str">
        <f>"Трубка кондицион"</f>
        <v>Трубка кондицион</v>
      </c>
      <c r="C8743">
        <v>0</v>
      </c>
      <c r="D8743">
        <v>1483.896</v>
      </c>
    </row>
    <row r="8744" spans="1:4">
      <c r="A8744" t="str">
        <f>"92460-VB015"</f>
        <v>92460-VB015</v>
      </c>
      <c r="B8744" t="str">
        <f>"PIPE-COOLER"</f>
        <v>PIPE-COOLER</v>
      </c>
      <c r="C8744">
        <v>1</v>
      </c>
      <c r="D8744">
        <v>4993.92</v>
      </c>
    </row>
    <row r="8745" spans="1:4">
      <c r="A8745" t="str">
        <f>"92460-ZW00A"</f>
        <v>92460-ZW00A</v>
      </c>
      <c r="B8745" t="str">
        <f>"Трубка кондицион"</f>
        <v>Трубка кондицион</v>
      </c>
      <c r="C8745">
        <v>2</v>
      </c>
      <c r="D8745">
        <v>8502.3119999999999</v>
      </c>
    </row>
    <row r="8746" spans="1:4">
      <c r="A8746" t="str">
        <f>"92461-VC070"</f>
        <v>92461-VC070</v>
      </c>
      <c r="B8746" t="str">
        <f>"PIPE ASSY"</f>
        <v>PIPE ASSY</v>
      </c>
      <c r="C8746">
        <v>6</v>
      </c>
      <c r="D8746">
        <v>3798.48</v>
      </c>
    </row>
    <row r="8747" spans="1:4">
      <c r="A8747" t="str">
        <f>"92470-HC050"</f>
        <v>92470-HC050</v>
      </c>
      <c r="B8747" t="str">
        <f>"O RING"</f>
        <v>O RING</v>
      </c>
      <c r="C8747">
        <v>0</v>
      </c>
      <c r="D8747">
        <v>62.831999999999994</v>
      </c>
    </row>
    <row r="8748" spans="1:4">
      <c r="A8748" t="str">
        <f>"92470-N8210"</f>
        <v>92470-N8210</v>
      </c>
      <c r="B8748" t="str">
        <f>"O RING"</f>
        <v>O RING</v>
      </c>
      <c r="C8748">
        <v>0</v>
      </c>
      <c r="D8748">
        <v>64.463999999999999</v>
      </c>
    </row>
    <row r="8749" spans="1:4">
      <c r="A8749" t="str">
        <f>"92470-ZS01A"</f>
        <v>92470-ZS01A</v>
      </c>
      <c r="B8749" t="str">
        <f>"Трубка кондицион"</f>
        <v>Трубка кондицион</v>
      </c>
      <c r="C8749">
        <v>6</v>
      </c>
      <c r="D8749">
        <v>9335.8559999999998</v>
      </c>
    </row>
    <row r="8750" spans="1:4">
      <c r="A8750" t="str">
        <f>"92471-N8200"</f>
        <v>92471-N8200</v>
      </c>
      <c r="B8750" t="str">
        <f>"RING O COCK"</f>
        <v>RING O COCK</v>
      </c>
      <c r="C8750">
        <v>0</v>
      </c>
      <c r="D8750">
        <v>62.831999999999994</v>
      </c>
    </row>
    <row r="8751" spans="1:4">
      <c r="A8751" t="str">
        <f>"92472-95F0A"</f>
        <v>92472-95F0A</v>
      </c>
      <c r="B8751" t="str">
        <f>"Кольцо уплотнительно"</f>
        <v>Кольцо уплотнительно</v>
      </c>
      <c r="C8751">
        <v>0</v>
      </c>
      <c r="D8751">
        <v>49.775999999999996</v>
      </c>
    </row>
    <row r="8752" spans="1:4">
      <c r="A8752" t="str">
        <f>"92472-N8210"</f>
        <v>92472-N8210</v>
      </c>
      <c r="B8752" t="str">
        <f>"O RING"</f>
        <v>O RING</v>
      </c>
      <c r="C8752">
        <v>0</v>
      </c>
      <c r="D8752">
        <v>44.879999999999995</v>
      </c>
    </row>
    <row r="8753" spans="1:4">
      <c r="A8753" t="str">
        <f>"92473-N8210"</f>
        <v>92473-N8210</v>
      </c>
      <c r="B8753" t="str">
        <f>"O RING"</f>
        <v>O RING</v>
      </c>
      <c r="C8753">
        <v>0</v>
      </c>
      <c r="D8753">
        <v>64.463999999999999</v>
      </c>
    </row>
    <row r="8754" spans="1:4">
      <c r="A8754" t="str">
        <f>"92474-N8210"</f>
        <v>92474-N8210</v>
      </c>
      <c r="B8754" t="str">
        <f>"O RING"</f>
        <v>O RING</v>
      </c>
      <c r="C8754">
        <v>10</v>
      </c>
      <c r="D8754">
        <v>42.431999999999995</v>
      </c>
    </row>
    <row r="8755" spans="1:4">
      <c r="A8755" t="str">
        <f>"92477-AX005"</f>
        <v>92477-AX005</v>
      </c>
      <c r="B8755" t="str">
        <f>"O RING"</f>
        <v>O RING</v>
      </c>
      <c r="C8755">
        <v>0</v>
      </c>
      <c r="D8755">
        <v>46.92</v>
      </c>
    </row>
    <row r="8756" spans="1:4">
      <c r="A8756" t="str">
        <f>"92480-AU101"</f>
        <v>92480-AU101</v>
      </c>
      <c r="B8756" t="str">
        <f>"HOSE-FLEXIBLE,L"</f>
        <v>HOSE-FLEXIBLE,L</v>
      </c>
      <c r="C8756">
        <v>0</v>
      </c>
      <c r="D8756">
        <v>4321.9439999999995</v>
      </c>
    </row>
    <row r="8757" spans="1:4">
      <c r="A8757" t="str">
        <f>"92480-BN900"</f>
        <v>92480-BN900</v>
      </c>
      <c r="B8757" t="str">
        <f>"HOSE-FLEXIBLE,L"</f>
        <v>HOSE-FLEXIBLE,L</v>
      </c>
      <c r="C8757">
        <v>0</v>
      </c>
      <c r="D8757">
        <v>6004.1279999999997</v>
      </c>
    </row>
    <row r="8758" spans="1:4">
      <c r="A8758" t="str">
        <f>"92490-2Y90B"</f>
        <v>92490-2Y90B</v>
      </c>
      <c r="B8758" t="str">
        <f>"Шланг кондиционе"</f>
        <v>Шланг кондиционе</v>
      </c>
      <c r="C8758">
        <v>2</v>
      </c>
      <c r="D8758">
        <v>4798.8959999999997</v>
      </c>
    </row>
    <row r="8759" spans="1:4">
      <c r="A8759" t="str">
        <f>"92490-95F0B"</f>
        <v>92490-95F0B</v>
      </c>
      <c r="B8759" t="str">
        <f>"Шланг кондиционе"</f>
        <v>Шланг кондиционе</v>
      </c>
      <c r="C8759">
        <v>3</v>
      </c>
      <c r="D8759">
        <v>3875.5919999999996</v>
      </c>
    </row>
    <row r="8760" spans="1:4">
      <c r="A8760" t="str">
        <f>"92490-BM402"</f>
        <v>92490-BM402</v>
      </c>
      <c r="B8760" t="str">
        <f>"HOSE-FLEXIBLE,H"</f>
        <v>HOSE-FLEXIBLE,H</v>
      </c>
      <c r="C8760">
        <v>2</v>
      </c>
      <c r="D8760">
        <v>3760.9439999999995</v>
      </c>
    </row>
    <row r="8761" spans="1:4">
      <c r="A8761" t="str">
        <f>"92490-JD20B"</f>
        <v>92490-JD20B</v>
      </c>
      <c r="B8761" t="str">
        <f>"Шланг компрессора ко"</f>
        <v>Шланг компрессора ко</v>
      </c>
      <c r="C8761">
        <v>0</v>
      </c>
      <c r="D8761">
        <v>3867.0239999999999</v>
      </c>
    </row>
    <row r="8762" spans="1:4">
      <c r="A8762" t="str">
        <f>"92490-JG300"</f>
        <v>92490-JG300</v>
      </c>
      <c r="B8762" t="str">
        <f>"Шланг компрессора ко"</f>
        <v>Шланг компрессора ко</v>
      </c>
      <c r="C8762">
        <v>3</v>
      </c>
      <c r="D8762">
        <v>6337.0559999999996</v>
      </c>
    </row>
    <row r="8763" spans="1:4">
      <c r="A8763" t="str">
        <f>"92600-1DB3A"</f>
        <v>92600-1DB3A</v>
      </c>
      <c r="B8763" t="str">
        <f>"Компрессор кондицион"</f>
        <v>Компрессор кондицион</v>
      </c>
      <c r="C8763">
        <v>1</v>
      </c>
      <c r="D8763">
        <v>31520.856</v>
      </c>
    </row>
    <row r="8764" spans="1:4">
      <c r="A8764" t="str">
        <f>"92600-9F511"</f>
        <v>92600-9F511</v>
      </c>
      <c r="B8764" t="str">
        <f>"COMPRESSOR-COOL"</f>
        <v>COMPRESSOR-COOL</v>
      </c>
      <c r="C8764">
        <v>5</v>
      </c>
      <c r="D8764">
        <v>28125.48</v>
      </c>
    </row>
    <row r="8765" spans="1:4">
      <c r="A8765" t="str">
        <f>"92600-AU01B"</f>
        <v>92600-AU01B</v>
      </c>
      <c r="B8765" t="str">
        <f>"Компрессор кондицион"</f>
        <v>Компрессор кондицион</v>
      </c>
      <c r="C8765">
        <v>2</v>
      </c>
      <c r="D8765">
        <v>26778.263999999999</v>
      </c>
    </row>
    <row r="8766" spans="1:4">
      <c r="A8766" t="str">
        <f>"92600-EN22B"</f>
        <v>92600-EN22B</v>
      </c>
      <c r="B8766" t="str">
        <f>"Компрессор кондицион"</f>
        <v>Компрессор кондицион</v>
      </c>
      <c r="C8766">
        <v>0</v>
      </c>
      <c r="D8766">
        <v>27983.496000000003</v>
      </c>
    </row>
    <row r="8767" spans="1:4">
      <c r="A8767" t="str">
        <f>"92600-JG30A"</f>
        <v>92600-JG30A</v>
      </c>
      <c r="B8767" t="str">
        <f>"Компрессор кондицион"</f>
        <v>Компрессор кондицион</v>
      </c>
      <c r="C8767">
        <v>1</v>
      </c>
      <c r="D8767">
        <v>27063.864000000001</v>
      </c>
    </row>
    <row r="8768" spans="1:4">
      <c r="A8768" t="str">
        <f>"92660-1CB0A"</f>
        <v>92660-1CB0A</v>
      </c>
      <c r="B8768" t="str">
        <f>"Муфта компрессор"</f>
        <v>Муфта компрессор</v>
      </c>
      <c r="C8768">
        <v>1</v>
      </c>
      <c r="D8768">
        <v>15119.663999999999</v>
      </c>
    </row>
    <row r="8769" spans="1:4">
      <c r="A8769" t="str">
        <f>"92660-2Y00A"</f>
        <v>92660-2Y00A</v>
      </c>
      <c r="B8769" t="str">
        <f>"Муфта компрессора ко"</f>
        <v>Муфта компрессора ко</v>
      </c>
      <c r="C8769">
        <v>0</v>
      </c>
      <c r="D8769">
        <v>14900.567999999999</v>
      </c>
    </row>
    <row r="8770" spans="1:4">
      <c r="A8770" t="str">
        <f>"92660-31U00"</f>
        <v>92660-31U00</v>
      </c>
      <c r="B8770" t="str">
        <f>"CLUTCH ASSY-COM"</f>
        <v>CLUTCH ASSY-COM</v>
      </c>
      <c r="C8770">
        <v>1</v>
      </c>
      <c r="D8770">
        <v>18501.167999999998</v>
      </c>
    </row>
    <row r="8771" spans="1:4">
      <c r="A8771" t="str">
        <f>"92660-9F501"</f>
        <v>92660-9F501</v>
      </c>
      <c r="B8771" t="str">
        <f>"CLUTCH ASSY-COM"</f>
        <v>CLUTCH ASSY-COM</v>
      </c>
      <c r="C8771">
        <v>2</v>
      </c>
      <c r="D8771">
        <v>13166.975999999999</v>
      </c>
    </row>
    <row r="8772" spans="1:4">
      <c r="A8772" t="str">
        <f>"92660-9FE0A"</f>
        <v>92660-9FE0A</v>
      </c>
      <c r="B8772" t="str">
        <f>"Муфта компрессор"</f>
        <v>Муфта компрессор</v>
      </c>
      <c r="C8772">
        <v>2</v>
      </c>
      <c r="D8772">
        <v>7299.5279999999993</v>
      </c>
    </row>
    <row r="8773" spans="1:4">
      <c r="A8773" t="str">
        <f>"92660-AG00A"</f>
        <v>92660-AG00A</v>
      </c>
      <c r="B8773" t="str">
        <f>"Муфта компрессора ко"</f>
        <v>Муфта компрессора ко</v>
      </c>
      <c r="C8773">
        <v>3</v>
      </c>
      <c r="D8773">
        <v>14244.912</v>
      </c>
    </row>
    <row r="8774" spans="1:4">
      <c r="A8774" t="str">
        <f>"92660-AU00A"</f>
        <v>92660-AU00A</v>
      </c>
      <c r="B8774" t="str">
        <f>"Муфта компрессора ко"</f>
        <v>Муфта компрессора ко</v>
      </c>
      <c r="C8774">
        <v>3</v>
      </c>
      <c r="D8774">
        <v>14062.536</v>
      </c>
    </row>
    <row r="8775" spans="1:4">
      <c r="A8775" t="str">
        <f>"92660-AX84B"</f>
        <v>92660-AX84B</v>
      </c>
      <c r="B8775" t="str">
        <f>"Муфта компрессора ко"</f>
        <v>Муфта компрессора ко</v>
      </c>
      <c r="C8775">
        <v>1</v>
      </c>
      <c r="D8775">
        <v>9565.56</v>
      </c>
    </row>
    <row r="8776" spans="1:4">
      <c r="A8776" t="str">
        <f>"92660-CA01C"</f>
        <v>92660-CA01C</v>
      </c>
      <c r="B8776" t="str">
        <f>"Муфта компрессора ко"</f>
        <v>Муфта компрессора ко</v>
      </c>
      <c r="C8776">
        <v>2</v>
      </c>
      <c r="D8776">
        <v>13670.855999999998</v>
      </c>
    </row>
    <row r="8777" spans="1:4">
      <c r="A8777" t="str">
        <f>"92660-JA00B"</f>
        <v>92660-JA00B</v>
      </c>
      <c r="B8777" t="str">
        <f>"Муфта компресора"</f>
        <v>Муфта компресора</v>
      </c>
      <c r="C8777">
        <v>3</v>
      </c>
      <c r="D8777">
        <v>7968.6479999999992</v>
      </c>
    </row>
    <row r="8778" spans="1:4">
      <c r="A8778" t="str">
        <f>"92660-JD20A"</f>
        <v>92660-JD20A</v>
      </c>
      <c r="B8778" t="str">
        <f>"Муфта компрессора ко"</f>
        <v>Муфта компрессора ко</v>
      </c>
      <c r="C8778">
        <v>0</v>
      </c>
      <c r="D8778">
        <v>9963.3599999999988</v>
      </c>
    </row>
    <row r="8779" spans="1:4">
      <c r="A8779" t="str">
        <f>"92660-VB800"</f>
        <v>92660-VB800</v>
      </c>
      <c r="B8779" t="str">
        <f>"CLUTCH ASSY-COM"</f>
        <v>CLUTCH ASSY-COM</v>
      </c>
      <c r="C8779">
        <v>0</v>
      </c>
      <c r="D8779">
        <v>15014.4</v>
      </c>
    </row>
    <row r="8780" spans="1:4">
      <c r="A8780" t="str">
        <f>"93494-EB300"</f>
        <v>93494-EB300</v>
      </c>
      <c r="B8780" t="str">
        <f>"EMBLEM-BACK DOO"</f>
        <v>EMBLEM-BACK DOO</v>
      </c>
      <c r="C8780">
        <v>18</v>
      </c>
      <c r="D8780">
        <v>1563.4560000000001</v>
      </c>
    </row>
    <row r="8781" spans="1:4">
      <c r="A8781" t="str">
        <f>"93494-EB360"</f>
        <v>93494-EB360</v>
      </c>
      <c r="B8781" t="str">
        <f>"Эмблема задней двери"</f>
        <v>Эмблема задней двери</v>
      </c>
      <c r="C8781">
        <v>2</v>
      </c>
      <c r="D8781">
        <v>2059.1759999999999</v>
      </c>
    </row>
    <row r="8782" spans="1:4">
      <c r="A8782" t="str">
        <f>"93750-VB000"</f>
        <v>93750-VB000</v>
      </c>
      <c r="B8782" t="str">
        <f>"BRACKET-OVER FE"</f>
        <v>BRACKET-OVER FE</v>
      </c>
      <c r="C8782">
        <v>1</v>
      </c>
      <c r="D8782">
        <v>102</v>
      </c>
    </row>
    <row r="8783" spans="1:4">
      <c r="A8783" t="str">
        <f>"93820-VD43A"</f>
        <v>93820-VD43A</v>
      </c>
      <c r="B8783" t="str">
        <f>"Надкрылок пластиковы"</f>
        <v>Надкрылок пластиковы</v>
      </c>
      <c r="C8783">
        <v>5</v>
      </c>
      <c r="D8783">
        <v>5830.3200000000006</v>
      </c>
    </row>
    <row r="8784" spans="1:4">
      <c r="A8784" t="str">
        <f>"93821-VD43A"</f>
        <v>93821-VD43A</v>
      </c>
      <c r="B8784" t="str">
        <f>"Надкрылок пластиковы"</f>
        <v>Надкрылок пластиковы</v>
      </c>
      <c r="C8784">
        <v>4</v>
      </c>
      <c r="D8784">
        <v>5871.9359999999997</v>
      </c>
    </row>
    <row r="8785" spans="1:4">
      <c r="A8785" t="str">
        <f>"93822-VB100"</f>
        <v>93822-VB100</v>
      </c>
      <c r="B8785" t="str">
        <f>"FENDER-OVER REA"</f>
        <v>FENDER-OVER REA</v>
      </c>
      <c r="C8785">
        <v>1</v>
      </c>
      <c r="D8785">
        <v>4994.7359999999999</v>
      </c>
    </row>
    <row r="8786" spans="1:4">
      <c r="A8786" t="str">
        <f>"93823-VB100"</f>
        <v>93823-VB100</v>
      </c>
      <c r="B8786" t="str">
        <f>"FENDER-OVER REA"</f>
        <v>FENDER-OVER REA</v>
      </c>
      <c r="C8786">
        <v>0</v>
      </c>
      <c r="D8786">
        <v>4960.8720000000003</v>
      </c>
    </row>
    <row r="8787" spans="1:4">
      <c r="A8787" t="str">
        <f>"93826-7S680"</f>
        <v>93826-7S680</v>
      </c>
      <c r="B8787" t="str">
        <f>"Надкрылок пластиковы"</f>
        <v>Надкрылок пластиковы</v>
      </c>
      <c r="C8787">
        <v>6</v>
      </c>
      <c r="D8787">
        <v>6147.3359999999993</v>
      </c>
    </row>
    <row r="8788" spans="1:4">
      <c r="A8788" t="str">
        <f>"93826-VB100"</f>
        <v>93826-VB100</v>
      </c>
      <c r="B8788" t="str">
        <f>"FENDER-OVER,REA"</f>
        <v>FENDER-OVER,REA</v>
      </c>
      <c r="C8788">
        <v>3</v>
      </c>
      <c r="D8788">
        <v>8307.6959999999999</v>
      </c>
    </row>
    <row r="8789" spans="1:4">
      <c r="A8789" t="str">
        <f>"93827-7S680"</f>
        <v>93827-7S680</v>
      </c>
      <c r="B8789" t="str">
        <f>"FENDER-OVER RR"</f>
        <v>FENDER-OVER RR</v>
      </c>
      <c r="C8789">
        <v>8</v>
      </c>
      <c r="D8789">
        <v>5737.2959999999994</v>
      </c>
    </row>
    <row r="8790" spans="1:4">
      <c r="A8790" t="str">
        <f>"93828-BR01A"</f>
        <v>93828-BR01A</v>
      </c>
      <c r="B8790" t="str">
        <f>"Надкрылок пластиковы"</f>
        <v>Надкрылок пластиковы</v>
      </c>
      <c r="C8790">
        <v>21</v>
      </c>
      <c r="D8790">
        <v>4128.96</v>
      </c>
    </row>
    <row r="8791" spans="1:4">
      <c r="A8791" t="str">
        <f>"93828-BR02A"</f>
        <v>93828-BR02A</v>
      </c>
      <c r="B8791" t="str">
        <f>"Надкрылок пластиковы"</f>
        <v>Надкрылок пластиковы</v>
      </c>
      <c r="C8791">
        <v>9</v>
      </c>
      <c r="D8791">
        <v>4253.808</v>
      </c>
    </row>
    <row r="8792" spans="1:4">
      <c r="A8792" t="str">
        <f>"93828-VD30A"</f>
        <v>93828-VD30A</v>
      </c>
      <c r="B8792" t="str">
        <f>"Расширитель колесной"</f>
        <v>Расширитель колесной</v>
      </c>
      <c r="C8792">
        <v>3</v>
      </c>
      <c r="D8792">
        <v>4710.768</v>
      </c>
    </row>
    <row r="8793" spans="1:4">
      <c r="A8793" t="str">
        <f>"93828-VD500"</f>
        <v>93828-VD500</v>
      </c>
      <c r="B8793" t="str">
        <f>"FENDER-OVER REA"</f>
        <v>FENDER-OVER REA</v>
      </c>
      <c r="C8793">
        <v>5</v>
      </c>
      <c r="D8793">
        <v>6587.16</v>
      </c>
    </row>
    <row r="8794" spans="1:4">
      <c r="A8794" t="str">
        <f>"93829-BR01A"</f>
        <v>93829-BR01A</v>
      </c>
      <c r="B8794" t="str">
        <f>"Надкрылок пластиковы"</f>
        <v>Надкрылок пластиковы</v>
      </c>
      <c r="C8794">
        <v>0</v>
      </c>
      <c r="D8794">
        <v>3994.7280000000001</v>
      </c>
    </row>
    <row r="8795" spans="1:4">
      <c r="A8795" t="str">
        <f>"93829-BR02A"</f>
        <v>93829-BR02A</v>
      </c>
      <c r="B8795" t="str">
        <f>"Расширитель арки кры"</f>
        <v>Расширитель арки кры</v>
      </c>
      <c r="C8795">
        <v>0</v>
      </c>
      <c r="D8795">
        <v>3874.7759999999998</v>
      </c>
    </row>
    <row r="8796" spans="1:4">
      <c r="A8796" t="str">
        <f>"93829-VD30A"</f>
        <v>93829-VD30A</v>
      </c>
      <c r="B8796" t="str">
        <f>"Надкрылок пластиковы"</f>
        <v>Надкрылок пластиковы</v>
      </c>
      <c r="C8796">
        <v>2</v>
      </c>
      <c r="D8796">
        <v>4760.5439999999999</v>
      </c>
    </row>
    <row r="8797" spans="1:4">
      <c r="A8797" t="str">
        <f>"93829-VD500"</f>
        <v>93829-VD500</v>
      </c>
      <c r="B8797" t="str">
        <f>"Расширитель колесной"</f>
        <v>Расширитель колесной</v>
      </c>
      <c r="C8797">
        <v>3</v>
      </c>
      <c r="D8797">
        <v>6587.16</v>
      </c>
    </row>
    <row r="8798" spans="1:4">
      <c r="A8798" t="str">
        <f>"93840-VB002"</f>
        <v>93840-VB002</v>
      </c>
      <c r="B8798" t="str">
        <f>"PROTECTOR-REAR"</f>
        <v>PROTECTOR-REAR</v>
      </c>
      <c r="C8798">
        <v>2</v>
      </c>
      <c r="D8798">
        <v>619.34399999999994</v>
      </c>
    </row>
    <row r="8799" spans="1:4">
      <c r="A8799" t="str">
        <f>"93840-VB100"</f>
        <v>93840-VB100</v>
      </c>
      <c r="B8799" t="str">
        <f>"PROTECTOR-REAR"</f>
        <v>PROTECTOR-REAR</v>
      </c>
      <c r="C8799">
        <v>1</v>
      </c>
      <c r="D8799">
        <v>907.39199999999994</v>
      </c>
    </row>
    <row r="8800" spans="1:4">
      <c r="A8800" t="str">
        <f>"93841-VB002"</f>
        <v>93841-VB002</v>
      </c>
      <c r="B8800" t="str">
        <f>"PROTECTOR-REAR"</f>
        <v>PROTECTOR-REAR</v>
      </c>
      <c r="C8800">
        <v>4</v>
      </c>
      <c r="D8800">
        <v>1045.704</v>
      </c>
    </row>
    <row r="8801" spans="1:4">
      <c r="A8801" t="str">
        <f>"93841-VB100"</f>
        <v>93841-VB100</v>
      </c>
      <c r="B8801" t="str">
        <f>"PROTECTOR-REAR"</f>
        <v>PROTECTOR-REAR</v>
      </c>
      <c r="C8801">
        <v>0</v>
      </c>
      <c r="D8801">
        <v>910.24799999999993</v>
      </c>
    </row>
    <row r="8802" spans="1:4">
      <c r="A8802" t="str">
        <f>"93844-VB002"</f>
        <v>93844-VB002</v>
      </c>
      <c r="B8802" t="str">
        <f>"RUBBER ASSY-RR"</f>
        <v>RUBBER ASSY-RR</v>
      </c>
      <c r="C8802">
        <v>1</v>
      </c>
      <c r="D8802">
        <v>1037.136</v>
      </c>
    </row>
    <row r="8803" spans="1:4">
      <c r="A8803" t="str">
        <f>"93844-VB100"</f>
        <v>93844-VB100</v>
      </c>
      <c r="B8803" t="str">
        <f>"RUBBER ASSY-RR"</f>
        <v>RUBBER ASSY-RR</v>
      </c>
      <c r="C8803">
        <v>3</v>
      </c>
      <c r="D8803">
        <v>1021.2239999999999</v>
      </c>
    </row>
    <row r="8804" spans="1:4">
      <c r="A8804" t="str">
        <f>"93845-VB002"</f>
        <v>93845-VB002</v>
      </c>
      <c r="B8804" t="str">
        <f>"RUBBER ASSY-RR"</f>
        <v>RUBBER ASSY-RR</v>
      </c>
      <c r="C8804">
        <v>0</v>
      </c>
      <c r="D8804">
        <v>1171.3679999999999</v>
      </c>
    </row>
    <row r="8805" spans="1:4">
      <c r="A8805" t="str">
        <f>"93845-VB100"</f>
        <v>93845-VB100</v>
      </c>
      <c r="B8805" t="str">
        <f>"RUBBER ASSY-RR"</f>
        <v>RUBBER ASSY-RR</v>
      </c>
      <c r="C8805">
        <v>4</v>
      </c>
      <c r="D8805">
        <v>1016.328</v>
      </c>
    </row>
    <row r="8806" spans="1:4">
      <c r="A8806" t="str">
        <f>"95155-C6000"</f>
        <v>95155-C6000</v>
      </c>
      <c r="B8806" t="str">
        <f>"RUB-BODY MTG 4T"</f>
        <v>RUB-BODY MTG 4T</v>
      </c>
      <c r="C8806">
        <v>11</v>
      </c>
      <c r="D8806">
        <v>308.03999999999996</v>
      </c>
    </row>
    <row r="8807" spans="1:4">
      <c r="A8807" t="str">
        <f>"95510-06J00"</f>
        <v>95510-06J00</v>
      </c>
      <c r="B8807" t="str">
        <f>"RUBBER ASSY-BOD"</f>
        <v>RUBBER ASSY-BOD</v>
      </c>
      <c r="C8807">
        <v>8</v>
      </c>
      <c r="D8807">
        <v>1057.944</v>
      </c>
    </row>
    <row r="8808" spans="1:4">
      <c r="A8808" t="str">
        <f>"95510-EB301"</f>
        <v>95510-EB301</v>
      </c>
      <c r="B8808" t="str">
        <f>"Подушка кузова"</f>
        <v>Подушка кузова</v>
      </c>
      <c r="C8808">
        <v>2</v>
      </c>
      <c r="D8808">
        <v>2663.424</v>
      </c>
    </row>
    <row r="8809" spans="1:4">
      <c r="A8809" t="str">
        <f>"95510-EB30E"</f>
        <v>95510-EB30E</v>
      </c>
      <c r="B8809" t="str">
        <f>"Подушка кузова"</f>
        <v>Подушка кузова</v>
      </c>
      <c r="C8809">
        <v>6</v>
      </c>
      <c r="D8809">
        <v>2607.9360000000001</v>
      </c>
    </row>
    <row r="8810" spans="1:4">
      <c r="A8810" t="str">
        <f>"95510-VB005"</f>
        <v>95510-VB005</v>
      </c>
      <c r="B8810" t="str">
        <f>"INSULATOR-1ST"</f>
        <v>INSULATOR-1ST</v>
      </c>
      <c r="C8810">
        <v>38</v>
      </c>
      <c r="D8810">
        <v>1366.8</v>
      </c>
    </row>
    <row r="8811" spans="1:4">
      <c r="A8811" t="str">
        <f>"95516-VD300"</f>
        <v>95516-VD300</v>
      </c>
      <c r="B8811" t="str">
        <f>"Болт подушки куз"</f>
        <v>Болт подушки куз</v>
      </c>
      <c r="C8811">
        <v>31</v>
      </c>
      <c r="D8811">
        <v>204</v>
      </c>
    </row>
    <row r="8812" spans="1:4">
      <c r="A8812" t="str">
        <f>"95520-06J05"</f>
        <v>95520-06J05</v>
      </c>
      <c r="B8812" t="str">
        <f>"RUBBER-BODY MOU"</f>
        <v>RUBBER-BODY MOU</v>
      </c>
      <c r="C8812">
        <v>2</v>
      </c>
      <c r="D8812">
        <v>1043.2559999999999</v>
      </c>
    </row>
    <row r="8813" spans="1:4">
      <c r="A8813" t="str">
        <f>"95520-06J0A"</f>
        <v>95520-06J0A</v>
      </c>
      <c r="B8813" t="str">
        <f>"Подушка кузова"</f>
        <v>Подушка кузова</v>
      </c>
      <c r="C8813">
        <v>0</v>
      </c>
      <c r="D8813">
        <v>1038.3599999999999</v>
      </c>
    </row>
    <row r="8814" spans="1:4">
      <c r="A8814" t="str">
        <f>"95520-EB300"</f>
        <v>95520-EB300</v>
      </c>
      <c r="B8814" t="str">
        <f>"Подушка кузова"</f>
        <v>Подушка кузова</v>
      </c>
      <c r="C8814">
        <v>1</v>
      </c>
      <c r="D8814">
        <v>1481.04</v>
      </c>
    </row>
    <row r="8815" spans="1:4">
      <c r="A8815" t="str">
        <f>"95520-EB30A"</f>
        <v>95520-EB30A</v>
      </c>
      <c r="B8815" t="str">
        <f>"Подушка кузова"</f>
        <v>Подушка кузова</v>
      </c>
      <c r="C8815">
        <v>0</v>
      </c>
      <c r="D8815">
        <v>1538.9759999999999</v>
      </c>
    </row>
    <row r="8816" spans="1:4">
      <c r="A8816" t="str">
        <f>"95520-VB005"</f>
        <v>95520-VB005</v>
      </c>
      <c r="B8816" t="str">
        <f>"INSULATOR-2ND"</f>
        <v>INSULATOR-2ND</v>
      </c>
      <c r="C8816">
        <v>42</v>
      </c>
      <c r="D8816">
        <v>1357.0079999999998</v>
      </c>
    </row>
    <row r="8817" spans="1:4">
      <c r="A8817" t="str">
        <f>"95520-VC000"</f>
        <v>95520-VC000</v>
      </c>
      <c r="B8817" t="str">
        <f>"INSULATOR-2ND"</f>
        <v>INSULATOR-2ND</v>
      </c>
      <c r="C8817">
        <v>5</v>
      </c>
      <c r="D8817">
        <v>1347.624</v>
      </c>
    </row>
    <row r="8818" spans="1:4">
      <c r="A8818" t="str">
        <f>"95526-VD300"</f>
        <v>95526-VD300</v>
      </c>
      <c r="B8818" t="str">
        <f>"Болт подушки куз"</f>
        <v>Болт подушки куз</v>
      </c>
      <c r="C8818">
        <v>6</v>
      </c>
      <c r="D8818">
        <v>172.99199999999999</v>
      </c>
    </row>
    <row r="8819" spans="1:4">
      <c r="A8819" t="str">
        <f>"95550-VB005"</f>
        <v>95550-VB005</v>
      </c>
      <c r="B8819" t="str">
        <f>"INSULATOR ASSY"</f>
        <v>INSULATOR ASSY</v>
      </c>
      <c r="C8819">
        <v>2</v>
      </c>
      <c r="D8819">
        <v>1371.288</v>
      </c>
    </row>
    <row r="8820" spans="1:4">
      <c r="A8820" t="str">
        <f>"96011-EB400"</f>
        <v>96011-EB400</v>
      </c>
      <c r="B8820" t="str">
        <f>"Споилер переднего ба"</f>
        <v>Споилер переднего ба</v>
      </c>
      <c r="C8820">
        <v>1</v>
      </c>
      <c r="D8820">
        <v>1423.9199999999998</v>
      </c>
    </row>
    <row r="8821" spans="1:4">
      <c r="A8821" t="str">
        <f>"96012-EB300"</f>
        <v>96012-EB300</v>
      </c>
      <c r="B8821" t="str">
        <f>"Споилер переднего ба"</f>
        <v>Споилер переднего ба</v>
      </c>
      <c r="C8821">
        <v>0</v>
      </c>
      <c r="D8821">
        <v>1411.68</v>
      </c>
    </row>
    <row r="8822" spans="1:4">
      <c r="A8822" t="str">
        <f>"96012-EB400"</f>
        <v>96012-EB400</v>
      </c>
      <c r="B8822" t="str">
        <f>"Спойлер переднего ба"</f>
        <v>Спойлер переднего ба</v>
      </c>
      <c r="C8822">
        <v>3</v>
      </c>
      <c r="D8822">
        <v>1365.1680000000001</v>
      </c>
    </row>
    <row r="8823" spans="1:4">
      <c r="A8823" t="str">
        <f>"96013-EB300"</f>
        <v>96013-EB300</v>
      </c>
      <c r="B8823" t="str">
        <f>"Споилер переднего ба"</f>
        <v>Споилер переднего ба</v>
      </c>
      <c r="C8823">
        <v>1</v>
      </c>
      <c r="D8823">
        <v>1383.12</v>
      </c>
    </row>
    <row r="8824" spans="1:4">
      <c r="A8824" t="str">
        <f>"96013-EB400"</f>
        <v>96013-EB400</v>
      </c>
      <c r="B8824" t="str">
        <f>"Спойлер переднего ба"</f>
        <v>Спойлер переднего ба</v>
      </c>
      <c r="C8824">
        <v>5</v>
      </c>
      <c r="D8824">
        <v>1412.4959999999999</v>
      </c>
    </row>
    <row r="8825" spans="1:4">
      <c r="A8825" t="str">
        <f>"96015-9U000"</f>
        <v>96015-9U000</v>
      </c>
      <c r="B8825" t="str">
        <f>"Споилер переднего ба"</f>
        <v>Споилер переднего ба</v>
      </c>
      <c r="C8825">
        <v>0</v>
      </c>
      <c r="D8825">
        <v>1212.9839999999999</v>
      </c>
    </row>
    <row r="8826" spans="1:4">
      <c r="A8826" t="str">
        <f>"96015-EB303"</f>
        <v>96015-EB303</v>
      </c>
      <c r="B8826" t="str">
        <f>"Споилер переднего ба"</f>
        <v>Споилер переднего ба</v>
      </c>
      <c r="C8826">
        <v>2</v>
      </c>
      <c r="D8826">
        <v>1423.9199999999998</v>
      </c>
    </row>
    <row r="8827" spans="1:4">
      <c r="A8827" t="str">
        <f>"96030-JG500"</f>
        <v>96030-JG500</v>
      </c>
      <c r="B8827" t="str">
        <f>"Спойлер"</f>
        <v>Спойлер</v>
      </c>
      <c r="C8827">
        <v>2</v>
      </c>
      <c r="D8827">
        <v>15753.696</v>
      </c>
    </row>
    <row r="8828" spans="1:4">
      <c r="A8828" t="str">
        <f>"96100-ZS30A"</f>
        <v>96100-ZS30A</v>
      </c>
      <c r="B8828" t="str">
        <f>"Порог кузова"</f>
        <v>Порог кузова</v>
      </c>
      <c r="C8828">
        <v>1</v>
      </c>
      <c r="D8828">
        <v>10798.128000000001</v>
      </c>
    </row>
    <row r="8829" spans="1:4">
      <c r="A8829" t="str">
        <f>"96101-EA500"</f>
        <v>96101-EA500</v>
      </c>
      <c r="B8829" t="str">
        <f>"STEP-SIDE.LH"</f>
        <v>STEP-SIDE.LH</v>
      </c>
      <c r="C8829">
        <v>1</v>
      </c>
      <c r="D8829">
        <v>10984.175999999999</v>
      </c>
    </row>
    <row r="8830" spans="1:4">
      <c r="A8830" t="str">
        <f>"96101-ZS30A"</f>
        <v>96101-ZS30A</v>
      </c>
      <c r="B8830" t="str">
        <f>"Порог кузова"</f>
        <v>Порог кузова</v>
      </c>
      <c r="C8830">
        <v>2</v>
      </c>
      <c r="D8830">
        <v>10984.175999999999</v>
      </c>
    </row>
    <row r="8831" spans="1:4">
      <c r="A8831" t="str">
        <f>"96115-VD300"</f>
        <v>96115-VD300</v>
      </c>
      <c r="B8831" t="str">
        <f>"END-CAP FR LH"</f>
        <v>END-CAP FR LH</v>
      </c>
      <c r="C8831">
        <v>0</v>
      </c>
      <c r="D8831">
        <v>650.35199999999998</v>
      </c>
    </row>
    <row r="8832" spans="1:4">
      <c r="A8832" t="str">
        <f>"96210-1AN2A"</f>
        <v>96210-1AN2A</v>
      </c>
      <c r="B8832" t="str">
        <f>"Панель крепления ном"</f>
        <v>Панель крепления ном</v>
      </c>
      <c r="C8832">
        <v>12</v>
      </c>
      <c r="D8832">
        <v>1605.0719999999999</v>
      </c>
    </row>
    <row r="8833" spans="1:4">
      <c r="A8833" t="str">
        <f>"96210-1BF0A"</f>
        <v>96210-1BF0A</v>
      </c>
      <c r="B8833" t="str">
        <f>"Кронштейн номерного "</f>
        <v xml:space="preserve">Кронштейн номерного </v>
      </c>
      <c r="C8833">
        <v>5</v>
      </c>
      <c r="D8833">
        <v>1751.5439999999999</v>
      </c>
    </row>
    <row r="8834" spans="1:4">
      <c r="A8834" t="str">
        <f>"96210-1CJ0A"</f>
        <v>96210-1CJ0A</v>
      </c>
      <c r="B8834" t="str">
        <f>"Панель крепления ном"</f>
        <v>Панель крепления ном</v>
      </c>
      <c r="C8834">
        <v>9</v>
      </c>
      <c r="D8834">
        <v>1853.5439999999999</v>
      </c>
    </row>
    <row r="8835" spans="1:4">
      <c r="A8835" t="str">
        <f>"96210-1KA0A"</f>
        <v>96210-1KA0A</v>
      </c>
      <c r="B8835" t="str">
        <f>"Панель крепления ном"</f>
        <v>Панель крепления ном</v>
      </c>
      <c r="C8835">
        <v>0</v>
      </c>
      <c r="D8835">
        <v>1609.9680000000001</v>
      </c>
    </row>
    <row r="8836" spans="1:4">
      <c r="A8836" t="str">
        <f>"96210-1LB0B"</f>
        <v>96210-1LB0B</v>
      </c>
      <c r="B8836" t="str">
        <f>"Панель крепления ном"</f>
        <v>Панель крепления ном</v>
      </c>
      <c r="C8836">
        <v>8</v>
      </c>
      <c r="D8836">
        <v>1530.816</v>
      </c>
    </row>
    <row r="8837" spans="1:4">
      <c r="A8837" t="str">
        <f>"96210-43U80"</f>
        <v>96210-43U80</v>
      </c>
      <c r="B8837" t="str">
        <f>"BRKT LICENS PLA"</f>
        <v>BRKT LICENS PLA</v>
      </c>
      <c r="C8837">
        <v>2</v>
      </c>
      <c r="D8837">
        <v>1931.0639999999999</v>
      </c>
    </row>
    <row r="8838" spans="1:4">
      <c r="A8838" t="str">
        <f>"96210-7S600"</f>
        <v>96210-7S600</v>
      </c>
      <c r="B8838" t="str">
        <f>"BRACKET-LICENCE"</f>
        <v>BRACKET-LICENCE</v>
      </c>
      <c r="C8838">
        <v>4</v>
      </c>
      <c r="D8838">
        <v>403.512</v>
      </c>
    </row>
    <row r="8839" spans="1:4">
      <c r="A8839" t="str">
        <f>"96210-9W60A"</f>
        <v>96210-9W60A</v>
      </c>
      <c r="B8839" t="str">
        <f>"Панель крепления ном"</f>
        <v>Панель крепления ном</v>
      </c>
      <c r="C8839">
        <v>12</v>
      </c>
      <c r="D8839">
        <v>2027.3519999999999</v>
      </c>
    </row>
    <row r="8840" spans="1:4">
      <c r="A8840" t="str">
        <f>"96210-CA000"</f>
        <v>96210-CA000</v>
      </c>
      <c r="B8840" t="str">
        <f>"BRKT LICENS PLA"</f>
        <v>BRKT LICENS PLA</v>
      </c>
      <c r="C8840">
        <v>2</v>
      </c>
      <c r="D8840">
        <v>1449.2160000000001</v>
      </c>
    </row>
    <row r="8841" spans="1:4">
      <c r="A8841" t="str">
        <f>"96210-CC000"</f>
        <v>96210-CC000</v>
      </c>
      <c r="B8841" t="str">
        <f>"Панель крепления ном"</f>
        <v>Панель крепления ном</v>
      </c>
      <c r="C8841">
        <v>8</v>
      </c>
      <c r="D8841">
        <v>1496.136</v>
      </c>
    </row>
    <row r="8842" spans="1:4">
      <c r="A8842" t="str">
        <f>"96210-CG000"</f>
        <v>96210-CG000</v>
      </c>
      <c r="B8842" t="str">
        <f>"BRKT LICENS PLA"</f>
        <v>BRKT LICENS PLA</v>
      </c>
      <c r="C8842">
        <v>5</v>
      </c>
      <c r="D8842">
        <v>2159.9519999999998</v>
      </c>
    </row>
    <row r="8843" spans="1:4">
      <c r="A8843" t="str">
        <f>"96210-CM80A"</f>
        <v>96210-CM80A</v>
      </c>
      <c r="B8843" t="str">
        <f>"Панель крепления ном"</f>
        <v>Панель крепления ном</v>
      </c>
      <c r="C8843">
        <v>11</v>
      </c>
      <c r="D8843">
        <v>1901.6879999999999</v>
      </c>
    </row>
    <row r="8844" spans="1:4">
      <c r="A8844" t="str">
        <f>"96210-EB300"</f>
        <v>96210-EB300</v>
      </c>
      <c r="B8844" t="str">
        <f>"BRACKET-LICENCE"</f>
        <v>BRACKET-LICENCE</v>
      </c>
      <c r="C8844">
        <v>7</v>
      </c>
      <c r="D8844">
        <v>2179.5360000000001</v>
      </c>
    </row>
    <row r="8845" spans="1:4">
      <c r="A8845" t="str">
        <f>"96210-EB400"</f>
        <v>96210-EB400</v>
      </c>
      <c r="B8845" t="str">
        <f t="shared" ref="B8845:B8852" si="173">"Панель крепления ном"</f>
        <v>Панель крепления ном</v>
      </c>
      <c r="C8845">
        <v>9</v>
      </c>
      <c r="D8845">
        <v>2368.848</v>
      </c>
    </row>
    <row r="8846" spans="1:4">
      <c r="A8846" t="str">
        <f>"96210-EJ20A"</f>
        <v>96210-EJ20A</v>
      </c>
      <c r="B8846" t="str">
        <f t="shared" si="173"/>
        <v>Панель крепления ном</v>
      </c>
      <c r="C8846">
        <v>8</v>
      </c>
      <c r="D8846">
        <v>1682.184</v>
      </c>
    </row>
    <row r="8847" spans="1:4">
      <c r="A8847" t="str">
        <f>"96210-EV50D"</f>
        <v>96210-EV50D</v>
      </c>
      <c r="B8847" t="str">
        <f t="shared" si="173"/>
        <v>Панель крепления ном</v>
      </c>
      <c r="C8847">
        <v>13</v>
      </c>
      <c r="D8847">
        <v>1618.9439999999997</v>
      </c>
    </row>
    <row r="8848" spans="1:4">
      <c r="A8848" t="str">
        <f>"96210-JK80A"</f>
        <v>96210-JK80A</v>
      </c>
      <c r="B8848" t="str">
        <f t="shared" si="173"/>
        <v>Панель крепления ном</v>
      </c>
      <c r="C8848">
        <v>7</v>
      </c>
      <c r="D8848">
        <v>2327.232</v>
      </c>
    </row>
    <row r="8849" spans="1:4">
      <c r="A8849" t="str">
        <f>"96210-JN90A"</f>
        <v>96210-JN90A</v>
      </c>
      <c r="B8849" t="str">
        <f t="shared" si="173"/>
        <v>Панель крепления ном</v>
      </c>
      <c r="C8849">
        <v>10</v>
      </c>
      <c r="D8849">
        <v>2042.4479999999999</v>
      </c>
    </row>
    <row r="8850" spans="1:4">
      <c r="A8850" t="str">
        <f>"96210-ZQ50A"</f>
        <v>96210-ZQ50A</v>
      </c>
      <c r="B8850" t="str">
        <f t="shared" si="173"/>
        <v>Панель крепления ном</v>
      </c>
      <c r="C8850">
        <v>5</v>
      </c>
      <c r="D8850">
        <v>311.30400000000003</v>
      </c>
    </row>
    <row r="8851" spans="1:4">
      <c r="A8851" t="str">
        <f>"96212-VD200"</f>
        <v>96212-VD200</v>
      </c>
      <c r="B8851" t="str">
        <f t="shared" si="173"/>
        <v>Панель крепления ном</v>
      </c>
      <c r="C8851">
        <v>2</v>
      </c>
      <c r="D8851">
        <v>1098.336</v>
      </c>
    </row>
    <row r="8852" spans="1:4">
      <c r="A8852" t="str">
        <f>"96218-95F0A"</f>
        <v>96218-95F0A</v>
      </c>
      <c r="B8852" t="str">
        <f t="shared" si="173"/>
        <v>Панель крепления ном</v>
      </c>
      <c r="C8852">
        <v>3</v>
      </c>
      <c r="D8852">
        <v>879.24</v>
      </c>
    </row>
    <row r="8853" spans="1:4">
      <c r="A8853" t="str">
        <f>"96301-1CK0B"</f>
        <v>96301-1CK0B</v>
      </c>
      <c r="B8853" t="str">
        <f>"Зеркало двери"</f>
        <v>Зеркало двери</v>
      </c>
      <c r="C8853">
        <v>1</v>
      </c>
      <c r="D8853">
        <v>19630.511999999999</v>
      </c>
    </row>
    <row r="8854" spans="1:4">
      <c r="A8854" t="str">
        <f>"96301-2DR0A"</f>
        <v>96301-2DR0A</v>
      </c>
      <c r="B8854" t="str">
        <f t="shared" ref="B8854:B8864" si="174">"Зеркало двери наружн"</f>
        <v>Зеркало двери наружн</v>
      </c>
      <c r="C8854">
        <v>3</v>
      </c>
      <c r="D8854">
        <v>7043.3040000000001</v>
      </c>
    </row>
    <row r="8855" spans="1:4">
      <c r="A8855" t="str">
        <f>"96301-3Y70A"</f>
        <v>96301-3Y70A</v>
      </c>
      <c r="B8855" t="str">
        <f t="shared" si="174"/>
        <v>Зеркало двери наружн</v>
      </c>
      <c r="C8855">
        <v>0</v>
      </c>
      <c r="D8855">
        <v>4455.3599999999997</v>
      </c>
    </row>
    <row r="8856" spans="1:4">
      <c r="A8856" t="str">
        <f>"96301-4X10A"</f>
        <v>96301-4X10A</v>
      </c>
      <c r="B8856" t="str">
        <f t="shared" si="174"/>
        <v>Зеркало двери наружн</v>
      </c>
      <c r="C8856">
        <v>3</v>
      </c>
      <c r="D8856">
        <v>11467.655999999999</v>
      </c>
    </row>
    <row r="8857" spans="1:4">
      <c r="A8857" t="str">
        <f>"96301-4X10B"</f>
        <v>96301-4X10B</v>
      </c>
      <c r="B8857" t="str">
        <f t="shared" si="174"/>
        <v>Зеркало двери наружн</v>
      </c>
      <c r="C8857">
        <v>1</v>
      </c>
      <c r="D8857">
        <v>11023.751999999999</v>
      </c>
    </row>
    <row r="8858" spans="1:4">
      <c r="A8858" t="str">
        <f>"96301-5X10B"</f>
        <v>96301-5X10B</v>
      </c>
      <c r="B8858" t="str">
        <f t="shared" si="174"/>
        <v>Зеркало двери наружн</v>
      </c>
      <c r="C8858">
        <v>0</v>
      </c>
      <c r="D8858">
        <v>11023.751999999999</v>
      </c>
    </row>
    <row r="8859" spans="1:4">
      <c r="A8859" t="str">
        <f>"96301-95F3G"</f>
        <v>96301-95F3G</v>
      </c>
      <c r="B8859" t="str">
        <f t="shared" si="174"/>
        <v>Зеркало двери наружн</v>
      </c>
      <c r="C8859">
        <v>2</v>
      </c>
      <c r="D8859">
        <v>3767.88</v>
      </c>
    </row>
    <row r="8860" spans="1:4">
      <c r="A8860" t="str">
        <f>"96301-95F3H"</f>
        <v>96301-95F3H</v>
      </c>
      <c r="B8860" t="str">
        <f t="shared" si="174"/>
        <v>Зеркало двери наружн</v>
      </c>
      <c r="C8860">
        <v>1</v>
      </c>
      <c r="D8860">
        <v>3839.2799999999997</v>
      </c>
    </row>
    <row r="8861" spans="1:4">
      <c r="A8861" t="str">
        <f>"96301-AU48E"</f>
        <v>96301-AU48E</v>
      </c>
      <c r="B8861" t="str">
        <f t="shared" si="174"/>
        <v>Зеркало двери наружн</v>
      </c>
      <c r="C8861">
        <v>5</v>
      </c>
      <c r="D8861">
        <v>7903.7759999999989</v>
      </c>
    </row>
    <row r="8862" spans="1:4">
      <c r="A8862" t="str">
        <f>"96301-AX96C"</f>
        <v>96301-AX96C</v>
      </c>
      <c r="B8862" t="str">
        <f t="shared" si="174"/>
        <v>Зеркало двери наружн</v>
      </c>
      <c r="C8862">
        <v>2</v>
      </c>
      <c r="D8862">
        <v>5943.3359999999993</v>
      </c>
    </row>
    <row r="8863" spans="1:4">
      <c r="A8863" t="str">
        <f>"96301-BH00B"</f>
        <v>96301-BH00B</v>
      </c>
      <c r="B8863" t="str">
        <f t="shared" si="174"/>
        <v>Зеркало двери наружн</v>
      </c>
      <c r="C8863">
        <v>8</v>
      </c>
      <c r="D8863">
        <v>7003.7279999999992</v>
      </c>
    </row>
    <row r="8864" spans="1:4">
      <c r="A8864" t="str">
        <f>"96301-BH00C"</f>
        <v>96301-BH00C</v>
      </c>
      <c r="B8864" t="str">
        <f t="shared" si="174"/>
        <v>Зеркало двери наружн</v>
      </c>
      <c r="C8864">
        <v>3</v>
      </c>
      <c r="D8864">
        <v>6727.5119999999997</v>
      </c>
    </row>
    <row r="8865" spans="1:4">
      <c r="A8865" t="str">
        <f>"96301-BN228"</f>
        <v>96301-BN228</v>
      </c>
      <c r="B8865" t="str">
        <f>"MIRROR ASSY-DOO"</f>
        <v>MIRROR ASSY-DOO</v>
      </c>
      <c r="C8865">
        <v>5</v>
      </c>
      <c r="D8865">
        <v>8096.3519999999999</v>
      </c>
    </row>
    <row r="8866" spans="1:4">
      <c r="A8866" t="str">
        <f>"96301-BR72A"</f>
        <v>96301-BR72A</v>
      </c>
      <c r="B8866" t="str">
        <f t="shared" ref="B8866:B8884" si="175">"Зеркало двери наружн"</f>
        <v>Зеркало двери наружн</v>
      </c>
      <c r="C8866">
        <v>2</v>
      </c>
      <c r="D8866">
        <v>7871.1359999999995</v>
      </c>
    </row>
    <row r="8867" spans="1:4">
      <c r="A8867" t="str">
        <f>"96301-BR74A"</f>
        <v>96301-BR74A</v>
      </c>
      <c r="B8867" t="str">
        <f t="shared" si="175"/>
        <v>Зеркало двери наружн</v>
      </c>
      <c r="C8867">
        <v>9</v>
      </c>
      <c r="D8867">
        <v>8305.2479999999996</v>
      </c>
    </row>
    <row r="8868" spans="1:4">
      <c r="A8868" t="str">
        <f>"96301-CC04C"</f>
        <v>96301-CC04C</v>
      </c>
      <c r="B8868" t="str">
        <f t="shared" si="175"/>
        <v>Зеркало двери наружн</v>
      </c>
      <c r="C8868">
        <v>18</v>
      </c>
      <c r="D8868">
        <v>7448.8559999999998</v>
      </c>
    </row>
    <row r="8869" spans="1:4">
      <c r="A8869" t="str">
        <f>"96301-CL20B"</f>
        <v>96301-CL20B</v>
      </c>
      <c r="B8869" t="str">
        <f t="shared" si="175"/>
        <v>Зеркало двери наружн</v>
      </c>
      <c r="C8869">
        <v>2</v>
      </c>
      <c r="D8869">
        <v>7855.2240000000002</v>
      </c>
    </row>
    <row r="8870" spans="1:4">
      <c r="A8870" t="str">
        <f>"96301-CL21B"</f>
        <v>96301-CL21B</v>
      </c>
      <c r="B8870" t="str">
        <f t="shared" si="175"/>
        <v>Зеркало двери наружн</v>
      </c>
      <c r="C8870">
        <v>3</v>
      </c>
      <c r="D8870">
        <v>7930.2959999999994</v>
      </c>
    </row>
    <row r="8871" spans="1:4">
      <c r="A8871" t="str">
        <f>"96301-CM85B"</f>
        <v>96301-CM85B</v>
      </c>
      <c r="B8871" t="str">
        <f t="shared" si="175"/>
        <v>Зеркало двери наружн</v>
      </c>
      <c r="C8871">
        <v>2</v>
      </c>
      <c r="D8871">
        <v>10197.144</v>
      </c>
    </row>
    <row r="8872" spans="1:4">
      <c r="A8872" t="str">
        <f>"96301-EB110"</f>
        <v>96301-EB110</v>
      </c>
      <c r="B8872" t="str">
        <f t="shared" si="175"/>
        <v>Зеркало двери наружн</v>
      </c>
      <c r="C8872">
        <v>1</v>
      </c>
      <c r="D8872">
        <v>10236.312</v>
      </c>
    </row>
    <row r="8873" spans="1:4">
      <c r="A8873" t="str">
        <f>"96301-EB36A"</f>
        <v>96301-EB36A</v>
      </c>
      <c r="B8873" t="str">
        <f t="shared" si="175"/>
        <v>Зеркало двери наружн</v>
      </c>
      <c r="C8873">
        <v>1</v>
      </c>
      <c r="D8873">
        <v>10803.432000000001</v>
      </c>
    </row>
    <row r="8874" spans="1:4">
      <c r="A8874" t="str">
        <f>"96301-EM09B"</f>
        <v>96301-EM09B</v>
      </c>
      <c r="B8874" t="str">
        <f t="shared" si="175"/>
        <v>Зеркало двери наружн</v>
      </c>
      <c r="C8874">
        <v>3</v>
      </c>
      <c r="D8874">
        <v>7259.5439999999999</v>
      </c>
    </row>
    <row r="8875" spans="1:4">
      <c r="A8875" t="str">
        <f>"96301-EM19B"</f>
        <v>96301-EM19B</v>
      </c>
      <c r="B8875" t="str">
        <f t="shared" si="175"/>
        <v>Зеркало двери наружн</v>
      </c>
      <c r="C8875">
        <v>9</v>
      </c>
      <c r="D8875">
        <v>7228.9439999999995</v>
      </c>
    </row>
    <row r="8876" spans="1:4">
      <c r="A8876" t="str">
        <f>"96301-JG405"</f>
        <v>96301-JG405</v>
      </c>
      <c r="B8876" t="str">
        <f t="shared" si="175"/>
        <v>Зеркало двери наружн</v>
      </c>
      <c r="C8876">
        <v>13</v>
      </c>
      <c r="D8876">
        <v>6638.5680000000002</v>
      </c>
    </row>
    <row r="8877" spans="1:4">
      <c r="A8877" t="str">
        <f>"96301-JG475"</f>
        <v>96301-JG475</v>
      </c>
      <c r="B8877" t="str">
        <f t="shared" si="175"/>
        <v>Зеркало двери наружн</v>
      </c>
      <c r="C8877">
        <v>8</v>
      </c>
      <c r="D8877">
        <v>6501.48</v>
      </c>
    </row>
    <row r="8878" spans="1:4">
      <c r="A8878" t="str">
        <f>"96301-JL50A"</f>
        <v>96301-JL50A</v>
      </c>
      <c r="B8878" t="str">
        <f t="shared" si="175"/>
        <v>Зеркало двери наружн</v>
      </c>
      <c r="C8878">
        <v>3</v>
      </c>
      <c r="D8878">
        <v>5668.7519999999995</v>
      </c>
    </row>
    <row r="8879" spans="1:4">
      <c r="A8879" t="str">
        <f>"96301-JN10A"</f>
        <v>96301-JN10A</v>
      </c>
      <c r="B8879" t="str">
        <f t="shared" si="175"/>
        <v>Зеркало двери наружн</v>
      </c>
      <c r="C8879">
        <v>8</v>
      </c>
      <c r="D8879">
        <v>7021.2719999999999</v>
      </c>
    </row>
    <row r="8880" spans="1:4">
      <c r="A8880" t="str">
        <f>"96301-ZW20A"</f>
        <v>96301-ZW20A</v>
      </c>
      <c r="B8880" t="str">
        <f t="shared" si="175"/>
        <v>Зеркало двери наружн</v>
      </c>
      <c r="C8880">
        <v>0</v>
      </c>
      <c r="D8880">
        <v>9337.4879999999994</v>
      </c>
    </row>
    <row r="8881" spans="1:4">
      <c r="A8881" t="str">
        <f>"96302-1AH0A"</f>
        <v>96302-1AH0A</v>
      </c>
      <c r="B8881" t="str">
        <f t="shared" si="175"/>
        <v>Зеркало двери наружн</v>
      </c>
      <c r="C8881">
        <v>0</v>
      </c>
      <c r="D8881">
        <v>8054.3279999999995</v>
      </c>
    </row>
    <row r="8882" spans="1:4">
      <c r="A8882" t="str">
        <f>"96302-1AH0B"</f>
        <v>96302-1AH0B</v>
      </c>
      <c r="B8882" t="str">
        <f t="shared" si="175"/>
        <v>Зеркало двери наружн</v>
      </c>
      <c r="C8882">
        <v>2</v>
      </c>
      <c r="D8882">
        <v>8847.48</v>
      </c>
    </row>
    <row r="8883" spans="1:4">
      <c r="A8883" t="str">
        <f>"96302-1CK0B"</f>
        <v>96302-1CK0B</v>
      </c>
      <c r="B8883" t="str">
        <f t="shared" si="175"/>
        <v>Зеркало двери наружн</v>
      </c>
      <c r="C8883">
        <v>3</v>
      </c>
      <c r="D8883">
        <v>20190.288</v>
      </c>
    </row>
    <row r="8884" spans="1:4">
      <c r="A8884" t="str">
        <f>"96302-2DR0A"</f>
        <v>96302-2DR0A</v>
      </c>
      <c r="B8884" t="str">
        <f t="shared" si="175"/>
        <v>Зеркало двери наружн</v>
      </c>
      <c r="C8884">
        <v>3</v>
      </c>
      <c r="D8884">
        <v>7168.56</v>
      </c>
    </row>
    <row r="8885" spans="1:4">
      <c r="A8885" t="str">
        <f>"96302-2F488"</f>
        <v>96302-2F488</v>
      </c>
      <c r="B8885" t="str">
        <f>"MIRROR ASSY-DOO"</f>
        <v>MIRROR ASSY-DOO</v>
      </c>
      <c r="C8885">
        <v>4</v>
      </c>
      <c r="D8885">
        <v>7300.3440000000001</v>
      </c>
    </row>
    <row r="8886" spans="1:4">
      <c r="A8886" t="str">
        <f>"96302-3Y70A"</f>
        <v>96302-3Y70A</v>
      </c>
      <c r="B8886" t="str">
        <f t="shared" ref="B8886:B8892" si="176">"Зеркало двери наружн"</f>
        <v>Зеркало двери наружн</v>
      </c>
      <c r="C8886">
        <v>3</v>
      </c>
      <c r="D8886">
        <v>5459.04</v>
      </c>
    </row>
    <row r="8887" spans="1:4">
      <c r="A8887" t="str">
        <f>"96302-4X10A"</f>
        <v>96302-4X10A</v>
      </c>
      <c r="B8887" t="str">
        <f t="shared" si="176"/>
        <v>Зеркало двери наружн</v>
      </c>
      <c r="C8887">
        <v>2</v>
      </c>
      <c r="D8887">
        <v>11280.384</v>
      </c>
    </row>
    <row r="8888" spans="1:4">
      <c r="A8888" t="str">
        <f>"96302-4X10B"</f>
        <v>96302-4X10B</v>
      </c>
      <c r="B8888" t="str">
        <f t="shared" si="176"/>
        <v>Зеркало двери наружн</v>
      </c>
      <c r="C8888">
        <v>2</v>
      </c>
      <c r="D8888">
        <v>11799.767999999998</v>
      </c>
    </row>
    <row r="8889" spans="1:4">
      <c r="A8889" t="str">
        <f>"96302-5X10B"</f>
        <v>96302-5X10B</v>
      </c>
      <c r="B8889" t="str">
        <f t="shared" si="176"/>
        <v>Зеркало двери наружн</v>
      </c>
      <c r="C8889">
        <v>1</v>
      </c>
      <c r="D8889">
        <v>11799.767999999998</v>
      </c>
    </row>
    <row r="8890" spans="1:4">
      <c r="A8890" t="str">
        <f>"96302-95F3G"</f>
        <v>96302-95F3G</v>
      </c>
      <c r="B8890" t="str">
        <f t="shared" si="176"/>
        <v>Зеркало двери наружн</v>
      </c>
      <c r="C8890">
        <v>3</v>
      </c>
      <c r="D8890">
        <v>3749.5199999999995</v>
      </c>
    </row>
    <row r="8891" spans="1:4">
      <c r="A8891" t="str">
        <f>"96302-95F3H"</f>
        <v>96302-95F3H</v>
      </c>
      <c r="B8891" t="str">
        <f t="shared" si="176"/>
        <v>Зеркало двери наружн</v>
      </c>
      <c r="C8891">
        <v>2</v>
      </c>
      <c r="D8891">
        <v>3822.96</v>
      </c>
    </row>
    <row r="8892" spans="1:4">
      <c r="A8892" t="str">
        <f>"96302-AU48E"</f>
        <v>96302-AU48E</v>
      </c>
      <c r="B8892" t="str">
        <f t="shared" si="176"/>
        <v>Зеркало двери наружн</v>
      </c>
      <c r="C8892">
        <v>8</v>
      </c>
      <c r="D8892">
        <v>7552.4879999999994</v>
      </c>
    </row>
    <row r="8893" spans="1:4">
      <c r="A8893" t="str">
        <f>"96302-AX928"</f>
        <v>96302-AX928</v>
      </c>
      <c r="B8893" t="str">
        <f>"MIRROR ASSY-DOO"</f>
        <v>MIRROR ASSY-DOO</v>
      </c>
      <c r="C8893">
        <v>2</v>
      </c>
      <c r="D8893">
        <v>3376.2</v>
      </c>
    </row>
    <row r="8894" spans="1:4">
      <c r="A8894" t="str">
        <f>"96302-AX961"</f>
        <v>96302-AX961</v>
      </c>
      <c r="B8894" t="str">
        <f t="shared" ref="B8894:B8915" si="177">"Зеркало двери наружн"</f>
        <v>Зеркало двери наружн</v>
      </c>
      <c r="C8894">
        <v>3</v>
      </c>
      <c r="D8894">
        <v>5342.3519999999999</v>
      </c>
    </row>
    <row r="8895" spans="1:4">
      <c r="A8895" t="str">
        <f>"96302-AX96A"</f>
        <v>96302-AX96A</v>
      </c>
      <c r="B8895" t="str">
        <f t="shared" si="177"/>
        <v>Зеркало двери наружн</v>
      </c>
      <c r="C8895">
        <v>0</v>
      </c>
      <c r="D8895">
        <v>5958.0240000000003</v>
      </c>
    </row>
    <row r="8896" spans="1:4">
      <c r="A8896" t="str">
        <f>"96302-AX96C"</f>
        <v>96302-AX96C</v>
      </c>
      <c r="B8896" t="str">
        <f t="shared" si="177"/>
        <v>Зеркало двери наружн</v>
      </c>
      <c r="C8896">
        <v>4</v>
      </c>
      <c r="D8896">
        <v>5775.24</v>
      </c>
    </row>
    <row r="8897" spans="1:4">
      <c r="A8897" t="str">
        <f>"96302-BH00B"</f>
        <v>96302-BH00B</v>
      </c>
      <c r="B8897" t="str">
        <f t="shared" si="177"/>
        <v>Зеркало двери наружн</v>
      </c>
      <c r="C8897">
        <v>8</v>
      </c>
      <c r="D8897">
        <v>7406.0159999999996</v>
      </c>
    </row>
    <row r="8898" spans="1:4">
      <c r="A8898" t="str">
        <f>"96302-BH00C"</f>
        <v>96302-BH00C</v>
      </c>
      <c r="B8898" t="str">
        <f t="shared" si="177"/>
        <v>Зеркало двери наружн</v>
      </c>
      <c r="C8898">
        <v>6</v>
      </c>
      <c r="D8898">
        <v>7073.9039999999995</v>
      </c>
    </row>
    <row r="8899" spans="1:4">
      <c r="A8899" t="str">
        <f>"96302-BR72A"</f>
        <v>96302-BR72A</v>
      </c>
      <c r="B8899" t="str">
        <f t="shared" si="177"/>
        <v>Зеркало двери наружн</v>
      </c>
      <c r="C8899">
        <v>3</v>
      </c>
      <c r="D8899">
        <v>6605.52</v>
      </c>
    </row>
    <row r="8900" spans="1:4">
      <c r="A8900" t="str">
        <f>"96302-BR74A"</f>
        <v>96302-BR74A</v>
      </c>
      <c r="B8900" t="str">
        <f t="shared" si="177"/>
        <v>Зеркало двери наружн</v>
      </c>
      <c r="C8900">
        <v>29</v>
      </c>
      <c r="D8900">
        <v>8721</v>
      </c>
    </row>
    <row r="8901" spans="1:4">
      <c r="A8901" t="str">
        <f>"96302-CA300"</f>
        <v>96302-CA300</v>
      </c>
      <c r="B8901" t="str">
        <f t="shared" si="177"/>
        <v>Зеркало двери наружн</v>
      </c>
      <c r="C8901">
        <v>1</v>
      </c>
      <c r="D8901">
        <v>7509.6479999999992</v>
      </c>
    </row>
    <row r="8902" spans="1:4">
      <c r="A8902" t="str">
        <f>"96302-CC10C"</f>
        <v>96302-CC10C</v>
      </c>
      <c r="B8902" t="str">
        <f t="shared" si="177"/>
        <v>Зеркало двери наружн</v>
      </c>
      <c r="C8902">
        <v>1</v>
      </c>
      <c r="D8902">
        <v>6413.3519999999999</v>
      </c>
    </row>
    <row r="8903" spans="1:4">
      <c r="A8903" t="str">
        <f>"96302-CL20B"</f>
        <v>96302-CL20B</v>
      </c>
      <c r="B8903" t="str">
        <f t="shared" si="177"/>
        <v>Зеркало двери наружн</v>
      </c>
      <c r="C8903">
        <v>3</v>
      </c>
      <c r="D8903">
        <v>7806.2640000000001</v>
      </c>
    </row>
    <row r="8904" spans="1:4">
      <c r="A8904" t="str">
        <f>"96302-CL21B"</f>
        <v>96302-CL21B</v>
      </c>
      <c r="B8904" t="str">
        <f t="shared" si="177"/>
        <v>Зеркало двери наружн</v>
      </c>
      <c r="C8904">
        <v>2</v>
      </c>
      <c r="D8904">
        <v>7312.5839999999998</v>
      </c>
    </row>
    <row r="8905" spans="1:4">
      <c r="A8905" t="str">
        <f>"96302-CM85B"</f>
        <v>96302-CM85B</v>
      </c>
      <c r="B8905" t="str">
        <f t="shared" si="177"/>
        <v>Зеркало двери наружн</v>
      </c>
      <c r="C8905">
        <v>3</v>
      </c>
      <c r="D8905">
        <v>11485.608</v>
      </c>
    </row>
    <row r="8906" spans="1:4">
      <c r="A8906" t="str">
        <f>"96302-EB110"</f>
        <v>96302-EB110</v>
      </c>
      <c r="B8906" t="str">
        <f t="shared" si="177"/>
        <v>Зеркало двери наружн</v>
      </c>
      <c r="C8906">
        <v>3</v>
      </c>
      <c r="D8906">
        <v>9792.8160000000007</v>
      </c>
    </row>
    <row r="8907" spans="1:4">
      <c r="A8907" t="str">
        <f>"96302-EB36A"</f>
        <v>96302-EB36A</v>
      </c>
      <c r="B8907" t="str">
        <f t="shared" si="177"/>
        <v>Зеркало двери наружн</v>
      </c>
      <c r="C8907">
        <v>0</v>
      </c>
      <c r="D8907">
        <v>10633.704</v>
      </c>
    </row>
    <row r="8908" spans="1:4">
      <c r="A8908" t="str">
        <f>"96302-EM09B"</f>
        <v>96302-EM09B</v>
      </c>
      <c r="B8908" t="str">
        <f t="shared" si="177"/>
        <v>Зеркало двери наружн</v>
      </c>
      <c r="C8908">
        <v>21</v>
      </c>
      <c r="D8908">
        <v>7258.3200000000006</v>
      </c>
    </row>
    <row r="8909" spans="1:4">
      <c r="A8909" t="str">
        <f>"96302-EM19A"</f>
        <v>96302-EM19A</v>
      </c>
      <c r="B8909" t="str">
        <f t="shared" si="177"/>
        <v>Зеркало двери наружн</v>
      </c>
      <c r="C8909">
        <v>11</v>
      </c>
      <c r="D8909">
        <v>6895.6080000000002</v>
      </c>
    </row>
    <row r="8910" spans="1:4">
      <c r="A8910" t="str">
        <f>"96302-EV51A"</f>
        <v>96302-EV51A</v>
      </c>
      <c r="B8910" t="str">
        <f t="shared" si="177"/>
        <v>Зеркало двери наружн</v>
      </c>
      <c r="C8910">
        <v>3</v>
      </c>
      <c r="D8910">
        <v>9760.9920000000002</v>
      </c>
    </row>
    <row r="8911" spans="1:4">
      <c r="A8911" t="str">
        <f>"96302-JG405"</f>
        <v>96302-JG405</v>
      </c>
      <c r="B8911" t="str">
        <f t="shared" si="177"/>
        <v>Зеркало двери наружн</v>
      </c>
      <c r="C8911">
        <v>9</v>
      </c>
      <c r="D8911">
        <v>6372.96</v>
      </c>
    </row>
    <row r="8912" spans="1:4">
      <c r="A8912" t="str">
        <f>"96302-JG475"</f>
        <v>96302-JG475</v>
      </c>
      <c r="B8912" t="str">
        <f t="shared" si="177"/>
        <v>Зеркало двери наружн</v>
      </c>
      <c r="C8912">
        <v>26</v>
      </c>
      <c r="D8912">
        <v>6419.8799999999992</v>
      </c>
    </row>
    <row r="8913" spans="1:4">
      <c r="A8913" t="str">
        <f>"96302-JG47A"</f>
        <v>96302-JG47A</v>
      </c>
      <c r="B8913" t="str">
        <f t="shared" si="177"/>
        <v>Зеркало двери наружн</v>
      </c>
      <c r="C8913">
        <v>1</v>
      </c>
      <c r="D8913">
        <v>4871.9279999999999</v>
      </c>
    </row>
    <row r="8914" spans="1:4">
      <c r="A8914" t="str">
        <f>"96302-JL50A"</f>
        <v>96302-JL50A</v>
      </c>
      <c r="B8914" t="str">
        <f t="shared" si="177"/>
        <v>Зеркало двери наружн</v>
      </c>
      <c r="C8914">
        <v>9</v>
      </c>
      <c r="D8914">
        <v>7248.12</v>
      </c>
    </row>
    <row r="8915" spans="1:4">
      <c r="A8915" t="str">
        <f>"96302-JN10A"</f>
        <v>96302-JN10A</v>
      </c>
      <c r="B8915" t="str">
        <f t="shared" si="177"/>
        <v>Зеркало двери наружн</v>
      </c>
      <c r="C8915">
        <v>15</v>
      </c>
      <c r="D8915">
        <v>6204.8640000000005</v>
      </c>
    </row>
    <row r="8916" spans="1:4">
      <c r="A8916" t="str">
        <f>"96302-VB311"</f>
        <v>96302-VB311</v>
      </c>
      <c r="B8916" t="str">
        <f>"MIRROR ASSY-OUT"</f>
        <v>MIRROR ASSY-OUT</v>
      </c>
      <c r="C8916">
        <v>2</v>
      </c>
      <c r="D8916">
        <v>8451.3119999999999</v>
      </c>
    </row>
    <row r="8917" spans="1:4">
      <c r="A8917" t="str">
        <f>"96302-ZC60A"</f>
        <v>96302-ZC60A</v>
      </c>
      <c r="B8917" t="str">
        <f>"Зеркало двери наружн"</f>
        <v>Зеркало двери наружн</v>
      </c>
      <c r="C8917">
        <v>2</v>
      </c>
      <c r="D8917">
        <v>7736.4959999999992</v>
      </c>
    </row>
    <row r="8918" spans="1:4">
      <c r="A8918" t="str">
        <f>"96302-ZQ10A"</f>
        <v>96302-ZQ10A</v>
      </c>
      <c r="B8918" t="str">
        <f>"Зеркало двери наружн"</f>
        <v>Зеркало двери наружн</v>
      </c>
      <c r="C8918">
        <v>0</v>
      </c>
      <c r="D8918">
        <v>13482.767999999998</v>
      </c>
    </row>
    <row r="8919" spans="1:4">
      <c r="A8919" t="str">
        <f>"96312-EL12A"</f>
        <v>96312-EL12A</v>
      </c>
      <c r="B8919" t="str">
        <f>"Облицовка зеркала дв"</f>
        <v>Облицовка зеркала дв</v>
      </c>
      <c r="C8919">
        <v>17</v>
      </c>
      <c r="D8919">
        <v>417.79200000000003</v>
      </c>
    </row>
    <row r="8920" spans="1:4">
      <c r="A8920" t="str">
        <f>"96313-ZW40A"</f>
        <v>96313-ZW40A</v>
      </c>
      <c r="B8920" t="str">
        <f>"Облицовка зеркала дв"</f>
        <v>Облицовка зеркала дв</v>
      </c>
      <c r="C8920">
        <v>4</v>
      </c>
      <c r="D8920">
        <v>900.04799999999989</v>
      </c>
    </row>
    <row r="8921" spans="1:4">
      <c r="A8921" t="str">
        <f>"96321-95F0A"</f>
        <v>96321-95F0A</v>
      </c>
      <c r="B8921" t="str">
        <f>"Зеркало заднего вида"</f>
        <v>Зеркало заднего вида</v>
      </c>
      <c r="C8921">
        <v>1</v>
      </c>
      <c r="D8921">
        <v>2070.192</v>
      </c>
    </row>
    <row r="8922" spans="1:4">
      <c r="A8922" t="str">
        <f>"96321-9Y000"</f>
        <v>96321-9Y000</v>
      </c>
      <c r="B8922" t="str">
        <f>"Зеркало заднего вида"</f>
        <v>Зеркало заднего вида</v>
      </c>
      <c r="C8922">
        <v>4</v>
      </c>
      <c r="D8922">
        <v>2417.808</v>
      </c>
    </row>
    <row r="8923" spans="1:4">
      <c r="A8923" t="str">
        <f>"96321-AX700"</f>
        <v>96321-AX700</v>
      </c>
      <c r="B8923" t="str">
        <f>"MIRROR ASSY-INS"</f>
        <v>MIRROR ASSY-INS</v>
      </c>
      <c r="C8923">
        <v>3</v>
      </c>
      <c r="D8923">
        <v>2214.6239999999998</v>
      </c>
    </row>
    <row r="8924" spans="1:4">
      <c r="A8924" t="str">
        <f>"96321-BM400"</f>
        <v>96321-BM400</v>
      </c>
      <c r="B8924" t="str">
        <f>"MIRROR ASSY-INS"</f>
        <v>MIRROR ASSY-INS</v>
      </c>
      <c r="C8924">
        <v>2</v>
      </c>
      <c r="D8924">
        <v>1970.2319999999997</v>
      </c>
    </row>
    <row r="8925" spans="1:4">
      <c r="A8925" t="str">
        <f>"96335-BN075"</f>
        <v>96335-BN075</v>
      </c>
      <c r="B8925" t="str">
        <f>"COVER-MIRROR BO"</f>
        <v>COVER-MIRROR BO</v>
      </c>
      <c r="C8925">
        <v>10</v>
      </c>
      <c r="D8925">
        <v>1029.384</v>
      </c>
    </row>
    <row r="8926" spans="1:4">
      <c r="A8926" t="str">
        <f>"96336-BN075"</f>
        <v>96336-BN075</v>
      </c>
      <c r="B8926" t="str">
        <f>"COVER-MIRROR BO"</f>
        <v>COVER-MIRROR BO</v>
      </c>
      <c r="C8926">
        <v>12</v>
      </c>
      <c r="D8926">
        <v>1033.4639999999999</v>
      </c>
    </row>
    <row r="8927" spans="1:4">
      <c r="A8927" t="str">
        <f>"96353-7S600"</f>
        <v>96353-7S600</v>
      </c>
      <c r="B8927" t="str">
        <f>"SCALP-CHROME BA"</f>
        <v>SCALP-CHROME BA</v>
      </c>
      <c r="C8927">
        <v>2</v>
      </c>
      <c r="D8927">
        <v>1165.6559999999999</v>
      </c>
    </row>
    <row r="8928" spans="1:4">
      <c r="A8928" t="str">
        <f>"96354-7S600"</f>
        <v>96354-7S600</v>
      </c>
      <c r="B8928" t="str">
        <f>"SCALP-CHROME BA"</f>
        <v>SCALP-CHROME BA</v>
      </c>
      <c r="C8928">
        <v>2</v>
      </c>
      <c r="D8928">
        <v>1161.1679999999999</v>
      </c>
    </row>
    <row r="8929" spans="1:4">
      <c r="A8929" t="str">
        <f>"96365-0F020"</f>
        <v>96365-0F020</v>
      </c>
      <c r="B8929" t="str">
        <f>"GLASS MIRROR RH"</f>
        <v>GLASS MIRROR RH</v>
      </c>
      <c r="C8929">
        <v>0</v>
      </c>
      <c r="D8929">
        <v>1419.4319999999998</v>
      </c>
    </row>
    <row r="8930" spans="1:4">
      <c r="A8930" t="str">
        <f>"96365-0N100"</f>
        <v>96365-0N100</v>
      </c>
      <c r="B8930" t="str">
        <f>"GLASS-MIRROR,RH"</f>
        <v>GLASS-MIRROR,RH</v>
      </c>
      <c r="C8930">
        <v>5</v>
      </c>
      <c r="D8930">
        <v>659.32800000000009</v>
      </c>
    </row>
    <row r="8931" spans="1:4">
      <c r="A8931" t="str">
        <f>"96365-2DR0A"</f>
        <v>96365-2DR0A</v>
      </c>
      <c r="B8931" t="str">
        <f>"Зеркальный элеме"</f>
        <v>Зеркальный элеме</v>
      </c>
      <c r="C8931">
        <v>3</v>
      </c>
      <c r="D8931">
        <v>1518.9839999999999</v>
      </c>
    </row>
    <row r="8932" spans="1:4">
      <c r="A8932" t="str">
        <f>"96365-2F000"</f>
        <v>96365-2F000</v>
      </c>
      <c r="B8932" t="str">
        <f>"MIRROR-GLASS,RH"</f>
        <v>MIRROR-GLASS,RH</v>
      </c>
      <c r="C8932">
        <v>7</v>
      </c>
      <c r="D8932">
        <v>1073.856</v>
      </c>
    </row>
    <row r="8933" spans="1:4">
      <c r="A8933" t="str">
        <f>"96365-2F400"</f>
        <v>96365-2F400</v>
      </c>
      <c r="B8933" t="str">
        <f>"GLASS-MIRROR,RH"</f>
        <v>GLASS-MIRROR,RH</v>
      </c>
      <c r="C8933">
        <v>17</v>
      </c>
      <c r="D8933">
        <v>1220.7359999999999</v>
      </c>
    </row>
    <row r="8934" spans="1:4">
      <c r="A8934" t="str">
        <f>"96365-3S300"</f>
        <v>96365-3S300</v>
      </c>
      <c r="B8934" t="str">
        <f>"MIRROR-GLASS,RH"</f>
        <v>MIRROR-GLASS,RH</v>
      </c>
      <c r="C8934">
        <v>3</v>
      </c>
      <c r="D8934">
        <v>1480.6319999999998</v>
      </c>
    </row>
    <row r="8935" spans="1:4">
      <c r="A8935" t="str">
        <f>"96365-3S305"</f>
        <v>96365-3S305</v>
      </c>
      <c r="B8935" t="str">
        <f>"Зеркальный элеме"</f>
        <v>Зеркальный элеме</v>
      </c>
      <c r="C8935">
        <v>6</v>
      </c>
      <c r="D8935">
        <v>1467.1680000000001</v>
      </c>
    </row>
    <row r="8936" spans="1:4">
      <c r="A8936" t="str">
        <f>"96365-3Y51C"</f>
        <v>96365-3Y51C</v>
      </c>
      <c r="B8936" t="str">
        <f>"Зеркальный элеме"</f>
        <v>Зеркальный элеме</v>
      </c>
      <c r="C8936">
        <v>0</v>
      </c>
      <c r="D8936">
        <v>1552.848</v>
      </c>
    </row>
    <row r="8937" spans="1:4">
      <c r="A8937" t="str">
        <f>"96365-4X00A"</f>
        <v>96365-4X00A</v>
      </c>
      <c r="B8937" t="str">
        <f>"Зеркальный элеме"</f>
        <v>Зеркальный элеме</v>
      </c>
      <c r="C8937">
        <v>24</v>
      </c>
      <c r="D8937">
        <v>1563.4560000000001</v>
      </c>
    </row>
    <row r="8938" spans="1:4">
      <c r="A8938" t="str">
        <f>"96365-7S600"</f>
        <v>96365-7S600</v>
      </c>
      <c r="B8938" t="str">
        <f>"GLASS-MIRROR RH"</f>
        <v>GLASS-MIRROR RH</v>
      </c>
      <c r="C8938">
        <v>0</v>
      </c>
      <c r="D8938">
        <v>1253.376</v>
      </c>
    </row>
    <row r="8939" spans="1:4">
      <c r="A8939" t="str">
        <f>"96365-7S60B"</f>
        <v>96365-7S60B</v>
      </c>
      <c r="B8939" t="str">
        <f>"Зеркальный элемент ("</f>
        <v>Зеркальный элемент (</v>
      </c>
      <c r="C8939">
        <v>4</v>
      </c>
      <c r="D8939">
        <v>1312.9439999999997</v>
      </c>
    </row>
    <row r="8940" spans="1:4">
      <c r="A8940" t="str">
        <f>"96365-8H90A"</f>
        <v>96365-8H90A</v>
      </c>
      <c r="B8940" t="str">
        <f>"Зеркальный элеме"</f>
        <v>Зеркальный элеме</v>
      </c>
      <c r="C8940">
        <v>3</v>
      </c>
      <c r="D8940">
        <v>857.20799999999997</v>
      </c>
    </row>
    <row r="8941" spans="1:4">
      <c r="A8941" t="str">
        <f>"96365-8H91A"</f>
        <v>96365-8H91A</v>
      </c>
      <c r="B8941" t="str">
        <f>"Зеркальный элеме"</f>
        <v>Зеркальный элеме</v>
      </c>
      <c r="C8941">
        <v>6</v>
      </c>
      <c r="D8941">
        <v>1389.6479999999999</v>
      </c>
    </row>
    <row r="8942" spans="1:4">
      <c r="A8942" t="str">
        <f>"96365-8H91B"</f>
        <v>96365-8H91B</v>
      </c>
      <c r="B8942" t="str">
        <f>"Зеркальный элеме"</f>
        <v>Зеркальный элеме</v>
      </c>
      <c r="C8942">
        <v>3</v>
      </c>
      <c r="D8942">
        <v>1386.7920000000001</v>
      </c>
    </row>
    <row r="8943" spans="1:4">
      <c r="A8943" t="str">
        <f>"96365-95F0A"</f>
        <v>96365-95F0A</v>
      </c>
      <c r="B8943" t="str">
        <f>"Зеркальный элеме"</f>
        <v>Зеркальный элеме</v>
      </c>
      <c r="C8943">
        <v>8</v>
      </c>
      <c r="D8943">
        <v>607.91999999999996</v>
      </c>
    </row>
    <row r="8944" spans="1:4">
      <c r="A8944" t="str">
        <f>"96365-95F0C"</f>
        <v>96365-95F0C</v>
      </c>
      <c r="B8944" t="str">
        <f>"Зеркальный элеме"</f>
        <v>Зеркальный элеме</v>
      </c>
      <c r="C8944">
        <v>3</v>
      </c>
      <c r="D8944">
        <v>1560.192</v>
      </c>
    </row>
    <row r="8945" spans="1:4">
      <c r="A8945" t="str">
        <f>"96365-AU405"</f>
        <v>96365-AU405</v>
      </c>
      <c r="B8945" t="str">
        <f>"GLASS-MIRROR,RH"</f>
        <v>GLASS-MIRROR,RH</v>
      </c>
      <c r="C8945">
        <v>3</v>
      </c>
      <c r="D8945">
        <v>1166.472</v>
      </c>
    </row>
    <row r="8946" spans="1:4">
      <c r="A8946" t="str">
        <f>"96365-AU410"</f>
        <v>96365-AU410</v>
      </c>
      <c r="B8946" t="str">
        <f>"GLASS-MIRROR,RH"</f>
        <v>GLASS-MIRROR,RH</v>
      </c>
      <c r="C8946">
        <v>1</v>
      </c>
      <c r="D8946">
        <v>1030.6079999999999</v>
      </c>
    </row>
    <row r="8947" spans="1:4">
      <c r="A8947" t="str">
        <f>"96365-AU415"</f>
        <v>96365-AU415</v>
      </c>
      <c r="B8947" t="str">
        <f>"GLASS-MIRROR,RH"</f>
        <v>GLASS-MIRROR,RH</v>
      </c>
      <c r="C8947">
        <v>12</v>
      </c>
      <c r="D8947">
        <v>1186.8719999999998</v>
      </c>
    </row>
    <row r="8948" spans="1:4">
      <c r="A8948" t="str">
        <f>"96365-AU420"</f>
        <v>96365-AU420</v>
      </c>
      <c r="B8948" t="str">
        <f>"Зеркальный элеме"</f>
        <v>Зеркальный элеме</v>
      </c>
      <c r="C8948">
        <v>2</v>
      </c>
      <c r="D8948">
        <v>816</v>
      </c>
    </row>
    <row r="8949" spans="1:4">
      <c r="A8949" t="str">
        <f>"96365-AX760"</f>
        <v>96365-AX760</v>
      </c>
      <c r="B8949" t="str">
        <f>"GLASS-MIRROR,RH"</f>
        <v>GLASS-MIRROR,RH</v>
      </c>
      <c r="C8949">
        <v>6</v>
      </c>
      <c r="D8949">
        <v>1155.864</v>
      </c>
    </row>
    <row r="8950" spans="1:4">
      <c r="A8950" t="str">
        <f>"96365-AX860"</f>
        <v>96365-AX860</v>
      </c>
      <c r="B8950" t="str">
        <f>"GLASS-MIRROR,RH"</f>
        <v>GLASS-MIRROR,RH</v>
      </c>
      <c r="C8950">
        <v>14</v>
      </c>
      <c r="D8950">
        <v>1113.0239999999999</v>
      </c>
    </row>
    <row r="8951" spans="1:4">
      <c r="A8951" t="str">
        <f>"96365-BH00B"</f>
        <v>96365-BH00B</v>
      </c>
      <c r="B8951" t="str">
        <f>"Зеркальный элеме"</f>
        <v>Зеркальный элеме</v>
      </c>
      <c r="C8951">
        <v>4</v>
      </c>
      <c r="D8951">
        <v>1268.472</v>
      </c>
    </row>
    <row r="8952" spans="1:4">
      <c r="A8952" t="str">
        <f>"96365-BN000"</f>
        <v>96365-BN000</v>
      </c>
      <c r="B8952" t="str">
        <f>"GLASS-MIRROR,RH"</f>
        <v>GLASS-MIRROR,RH</v>
      </c>
      <c r="C8952">
        <v>7</v>
      </c>
      <c r="D8952">
        <v>1210.5359999999998</v>
      </c>
    </row>
    <row r="8953" spans="1:4">
      <c r="A8953" t="str">
        <f>"96365-BN101"</f>
        <v>96365-BN101</v>
      </c>
      <c r="B8953" t="str">
        <f>"GLASS-MIRROR,RH"</f>
        <v>GLASS-MIRROR,RH</v>
      </c>
      <c r="C8953">
        <v>23</v>
      </c>
      <c r="D8953">
        <v>1171.3679999999999</v>
      </c>
    </row>
    <row r="8954" spans="1:4">
      <c r="A8954" t="str">
        <f>"96365-CM80A"</f>
        <v>96365-CM80A</v>
      </c>
      <c r="B8954" t="str">
        <f>"Зеркальный элеме"</f>
        <v>Зеркальный элеме</v>
      </c>
      <c r="C8954">
        <v>0</v>
      </c>
      <c r="D8954">
        <v>1592.8319999999999</v>
      </c>
    </row>
    <row r="8955" spans="1:4">
      <c r="A8955" t="str">
        <f>"96365-EB11A"</f>
        <v>96365-EB11A</v>
      </c>
      <c r="B8955" t="str">
        <f>"GLASS-MIRROR,RH"</f>
        <v>GLASS-MIRROR,RH</v>
      </c>
      <c r="C8955">
        <v>8</v>
      </c>
      <c r="D8955">
        <v>1468.8</v>
      </c>
    </row>
    <row r="8956" spans="1:4">
      <c r="A8956" t="str">
        <f>"96365-EM06A"</f>
        <v>96365-EM06A</v>
      </c>
      <c r="B8956" t="str">
        <f>"Зеркальный элеме"</f>
        <v>Зеркальный элеме</v>
      </c>
      <c r="C8956">
        <v>0</v>
      </c>
      <c r="D8956">
        <v>1314.1680000000001</v>
      </c>
    </row>
    <row r="8957" spans="1:4">
      <c r="A8957" t="str">
        <f>"96365-JD11A"</f>
        <v>96365-JD11A</v>
      </c>
      <c r="B8957" t="str">
        <f>"Зеркальный элеме"</f>
        <v>Зеркальный элеме</v>
      </c>
      <c r="C8957">
        <v>4</v>
      </c>
      <c r="D8957">
        <v>1407.192</v>
      </c>
    </row>
    <row r="8958" spans="1:4">
      <c r="A8958" t="str">
        <f>"96365-JG05A"</f>
        <v>96365-JG05A</v>
      </c>
      <c r="B8958" t="str">
        <f>"Зеркальный элеме"</f>
        <v>Зеркальный элеме</v>
      </c>
      <c r="C8958">
        <v>5</v>
      </c>
      <c r="D8958">
        <v>1501.0319999999999</v>
      </c>
    </row>
    <row r="8959" spans="1:4">
      <c r="A8959" t="str">
        <f>"96365-JN10A"</f>
        <v>96365-JN10A</v>
      </c>
      <c r="B8959" t="str">
        <f>"Зеркальный элеме"</f>
        <v>Зеркальный элеме</v>
      </c>
      <c r="C8959">
        <v>3</v>
      </c>
      <c r="D8959">
        <v>1283.568</v>
      </c>
    </row>
    <row r="8960" spans="1:4">
      <c r="A8960" t="str">
        <f>"96365-ZC90A"</f>
        <v>96365-ZC90A</v>
      </c>
      <c r="B8960" t="str">
        <f>"Зеркальный элеме"</f>
        <v>Зеркальный элеме</v>
      </c>
      <c r="C8960">
        <v>2</v>
      </c>
      <c r="D8960">
        <v>1952.6879999999999</v>
      </c>
    </row>
    <row r="8961" spans="1:4">
      <c r="A8961" t="str">
        <f>"96366-0F020"</f>
        <v>96366-0F020</v>
      </c>
      <c r="B8961" t="str">
        <f>"GLASS MIRROR LH"</f>
        <v>GLASS MIRROR LH</v>
      </c>
      <c r="C8961">
        <v>4</v>
      </c>
      <c r="D8961">
        <v>1467.576</v>
      </c>
    </row>
    <row r="8962" spans="1:4">
      <c r="A8962" t="str">
        <f>"96366-0N100"</f>
        <v>96366-0N100</v>
      </c>
      <c r="B8962" t="str">
        <f>"MIRROR-GLASS,LH"</f>
        <v>MIRROR-GLASS,LH</v>
      </c>
      <c r="C8962">
        <v>5</v>
      </c>
      <c r="D8962">
        <v>644.64</v>
      </c>
    </row>
    <row r="8963" spans="1:4">
      <c r="A8963" t="str">
        <f>"96366-0N101"</f>
        <v>96366-0N101</v>
      </c>
      <c r="B8963" t="str">
        <f>"MIRROR GLASS RH"</f>
        <v>MIRROR GLASS RH</v>
      </c>
      <c r="C8963">
        <v>9</v>
      </c>
      <c r="D8963">
        <v>1054.6799999999998</v>
      </c>
    </row>
    <row r="8964" spans="1:4">
      <c r="A8964" t="str">
        <f>"96366-2DR0A"</f>
        <v>96366-2DR0A</v>
      </c>
      <c r="B8964" t="str">
        <f>"Зеркальный элеме"</f>
        <v>Зеркальный элеме</v>
      </c>
      <c r="C8964">
        <v>4</v>
      </c>
      <c r="D8964">
        <v>1455.7439999999999</v>
      </c>
    </row>
    <row r="8965" spans="1:4">
      <c r="A8965" t="str">
        <f>"96366-2F060"</f>
        <v>96366-2F060</v>
      </c>
      <c r="B8965" t="str">
        <f>"GLASS-MIRROR,LH"</f>
        <v>GLASS-MIRROR,LH</v>
      </c>
      <c r="C8965">
        <v>3</v>
      </c>
      <c r="D8965">
        <v>1222.3679999999999</v>
      </c>
    </row>
    <row r="8966" spans="1:4">
      <c r="A8966" t="str">
        <f>"96366-2F460"</f>
        <v>96366-2F460</v>
      </c>
      <c r="B8966" t="str">
        <f>"GLASS-MIRROR,LH"</f>
        <v>GLASS-MIRROR,LH</v>
      </c>
      <c r="C8966">
        <v>13</v>
      </c>
      <c r="D8966">
        <v>1146.0719999999999</v>
      </c>
    </row>
    <row r="8967" spans="1:4">
      <c r="A8967" t="str">
        <f>"96366-31U00"</f>
        <v>96366-31U00</v>
      </c>
      <c r="B8967" t="str">
        <f>"MIRROR-GLASS,LH"</f>
        <v>MIRROR-GLASS,LH</v>
      </c>
      <c r="C8967">
        <v>8</v>
      </c>
      <c r="D8967">
        <v>576.91199999999992</v>
      </c>
    </row>
    <row r="8968" spans="1:4">
      <c r="A8968" t="str">
        <f>"96366-32U00"</f>
        <v>96366-32U00</v>
      </c>
      <c r="B8968" t="str">
        <f>"MIRROR-GLASS,LH"</f>
        <v>MIRROR-GLASS,LH</v>
      </c>
      <c r="C8968">
        <v>3</v>
      </c>
      <c r="D8968">
        <v>1266.4319999999998</v>
      </c>
    </row>
    <row r="8969" spans="1:4">
      <c r="A8969" t="str">
        <f>"96366-3S300"</f>
        <v>96366-3S300</v>
      </c>
      <c r="B8969" t="str">
        <f>"MIRROR-GLASS,LH"</f>
        <v>MIRROR-GLASS,LH</v>
      </c>
      <c r="C8969">
        <v>3</v>
      </c>
      <c r="D8969">
        <v>1212.9839999999999</v>
      </c>
    </row>
    <row r="8970" spans="1:4">
      <c r="A8970" t="str">
        <f>"96366-3S305"</f>
        <v>96366-3S305</v>
      </c>
      <c r="B8970" t="str">
        <f>"MIRROR-GLASS,LH"</f>
        <v>MIRROR-GLASS,LH</v>
      </c>
      <c r="C8970">
        <v>6</v>
      </c>
      <c r="D8970">
        <v>1201.9679999999998</v>
      </c>
    </row>
    <row r="8971" spans="1:4">
      <c r="A8971" t="str">
        <f>"96366-3Y51B"</f>
        <v>96366-3Y51B</v>
      </c>
      <c r="B8971" t="str">
        <f>"Зеркальный элеме"</f>
        <v>Зеркальный элеме</v>
      </c>
      <c r="C8971">
        <v>5</v>
      </c>
      <c r="D8971">
        <v>1296.624</v>
      </c>
    </row>
    <row r="8972" spans="1:4">
      <c r="A8972" t="str">
        <f>"96366-3Y51C"</f>
        <v>96366-3Y51C</v>
      </c>
      <c r="B8972" t="str">
        <f>"Зеркальный элеме"</f>
        <v>Зеркальный элеме</v>
      </c>
      <c r="C8972">
        <v>3</v>
      </c>
      <c r="D8972">
        <v>1561.8239999999998</v>
      </c>
    </row>
    <row r="8973" spans="1:4">
      <c r="A8973" t="str">
        <f>"96366-4M512"</f>
        <v>96366-4M512</v>
      </c>
      <c r="B8973" t="str">
        <f>"MIRROR-GLASS,LH"</f>
        <v>MIRROR-GLASS,LH</v>
      </c>
      <c r="C8973">
        <v>0</v>
      </c>
      <c r="D8973">
        <v>1880.88</v>
      </c>
    </row>
    <row r="8974" spans="1:4">
      <c r="A8974" t="str">
        <f>"96366-4X00A"</f>
        <v>96366-4X00A</v>
      </c>
      <c r="B8974" t="str">
        <f>"Зеркальный элеме"</f>
        <v>Зеркальный элеме</v>
      </c>
      <c r="C8974">
        <v>12</v>
      </c>
      <c r="D8974">
        <v>1560.192</v>
      </c>
    </row>
    <row r="8975" spans="1:4">
      <c r="A8975" t="str">
        <f>"96366-7S600"</f>
        <v>96366-7S600</v>
      </c>
      <c r="B8975" t="str">
        <f>"GLASS-MIRROR LH"</f>
        <v>GLASS-MIRROR LH</v>
      </c>
      <c r="C8975">
        <v>2</v>
      </c>
      <c r="D8975">
        <v>1243.1759999999999</v>
      </c>
    </row>
    <row r="8976" spans="1:4">
      <c r="A8976" t="str">
        <f>"96366-7S60B"</f>
        <v>96366-7S60B</v>
      </c>
      <c r="B8976" t="str">
        <f>"Зеркальный элемент ("</f>
        <v>Зеркальный элемент (</v>
      </c>
      <c r="C8976">
        <v>3</v>
      </c>
      <c r="D8976">
        <v>1244.3999999999999</v>
      </c>
    </row>
    <row r="8977" spans="1:4">
      <c r="A8977" t="str">
        <f>"96366-8H91A"</f>
        <v>96366-8H91A</v>
      </c>
      <c r="B8977" t="str">
        <f>"Зеркальный элеме"</f>
        <v>Зеркальный элеме</v>
      </c>
      <c r="C8977">
        <v>0</v>
      </c>
      <c r="D8977">
        <v>1192.1759999999999</v>
      </c>
    </row>
    <row r="8978" spans="1:4">
      <c r="A8978" t="str">
        <f>"96366-92J00"</f>
        <v>96366-92J00</v>
      </c>
      <c r="B8978" t="str">
        <f>"GLASS-MIRROR,LH"</f>
        <v>GLASS-MIRROR,LH</v>
      </c>
      <c r="C8978">
        <v>5</v>
      </c>
      <c r="D8978">
        <v>1199.9280000000001</v>
      </c>
    </row>
    <row r="8979" spans="1:4">
      <c r="A8979" t="str">
        <f>"96366-95F0A"</f>
        <v>96366-95F0A</v>
      </c>
      <c r="B8979" t="str">
        <f t="shared" ref="B8979:B8984" si="178">"Зеркальный элеме"</f>
        <v>Зеркальный элеме</v>
      </c>
      <c r="C8979">
        <v>12</v>
      </c>
      <c r="D8979">
        <v>571.60799999999995</v>
      </c>
    </row>
    <row r="8980" spans="1:4">
      <c r="A8980" t="str">
        <f>"96366-95F0C"</f>
        <v>96366-95F0C</v>
      </c>
      <c r="B8980" t="str">
        <f t="shared" si="178"/>
        <v>Зеркальный элеме</v>
      </c>
      <c r="C8980">
        <v>10</v>
      </c>
      <c r="D8980">
        <v>1204.008</v>
      </c>
    </row>
    <row r="8981" spans="1:4">
      <c r="A8981" t="str">
        <f>"96366-95F0J"</f>
        <v>96366-95F0J</v>
      </c>
      <c r="B8981" t="str">
        <f t="shared" si="178"/>
        <v>Зеркальный элеме</v>
      </c>
      <c r="C8981">
        <v>6</v>
      </c>
      <c r="D8981">
        <v>1521.0239999999999</v>
      </c>
    </row>
    <row r="8982" spans="1:4">
      <c r="A8982" t="str">
        <f>"96366-95F0L"</f>
        <v>96366-95F0L</v>
      </c>
      <c r="B8982" t="str">
        <f t="shared" si="178"/>
        <v>Зеркальный элеме</v>
      </c>
      <c r="C8982">
        <v>4</v>
      </c>
      <c r="D8982">
        <v>605.47199999999998</v>
      </c>
    </row>
    <row r="8983" spans="1:4">
      <c r="A8983" t="str">
        <f>"96366-9U01A"</f>
        <v>96366-9U01A</v>
      </c>
      <c r="B8983" t="str">
        <f t="shared" si="178"/>
        <v>Зеркальный элеме</v>
      </c>
      <c r="C8983">
        <v>1</v>
      </c>
      <c r="D8983">
        <v>1261.1279999999999</v>
      </c>
    </row>
    <row r="8984" spans="1:4">
      <c r="A8984" t="str">
        <f>"96366-9U03A"</f>
        <v>96366-9U03A</v>
      </c>
      <c r="B8984" t="str">
        <f t="shared" si="178"/>
        <v>Зеркальный элеме</v>
      </c>
      <c r="C8984">
        <v>11</v>
      </c>
      <c r="D8984">
        <v>1308.864</v>
      </c>
    </row>
    <row r="8985" spans="1:4">
      <c r="A8985" t="str">
        <f>"96366-AU320"</f>
        <v>96366-AU320</v>
      </c>
      <c r="B8985" t="str">
        <f>"GLASS-MIRROR,LH"</f>
        <v>GLASS-MIRROR,LH</v>
      </c>
      <c r="C8985">
        <v>3</v>
      </c>
      <c r="D8985">
        <v>1081.2</v>
      </c>
    </row>
    <row r="8986" spans="1:4">
      <c r="A8986" t="str">
        <f>"96366-AU410"</f>
        <v>96366-AU410</v>
      </c>
      <c r="B8986" t="str">
        <f>"GLASS-MIRROR,LH"</f>
        <v>GLASS-MIRROR,LH</v>
      </c>
      <c r="C8986">
        <v>6</v>
      </c>
      <c r="D8986">
        <v>1212.576</v>
      </c>
    </row>
    <row r="8987" spans="1:4">
      <c r="A8987" t="str">
        <f>"96366-BN101"</f>
        <v>96366-BN101</v>
      </c>
      <c r="B8987" t="str">
        <f>"GLASS-MIRROR,LH"</f>
        <v>GLASS-MIRROR,LH</v>
      </c>
      <c r="C8987">
        <v>8</v>
      </c>
      <c r="D8987">
        <v>1217.0640000000001</v>
      </c>
    </row>
    <row r="8988" spans="1:4">
      <c r="A8988" t="str">
        <f>"96366-CC015"</f>
        <v>96366-CC015</v>
      </c>
      <c r="B8988" t="str">
        <f>"Зеркальный элеме"</f>
        <v>Зеркальный элеме</v>
      </c>
      <c r="C8988">
        <v>6</v>
      </c>
      <c r="D8988">
        <v>1235.0160000000001</v>
      </c>
    </row>
    <row r="8989" spans="1:4">
      <c r="A8989" t="str">
        <f>"96366-CG400"</f>
        <v>96366-CG400</v>
      </c>
      <c r="B8989" t="str">
        <f>"GLASS MIRROR,LH"</f>
        <v>GLASS MIRROR,LH</v>
      </c>
      <c r="C8989">
        <v>4</v>
      </c>
      <c r="D8989">
        <v>1461.048</v>
      </c>
    </row>
    <row r="8990" spans="1:4">
      <c r="A8990" t="str">
        <f>"96366-CM80A"</f>
        <v>96366-CM80A</v>
      </c>
      <c r="B8990" t="str">
        <f>"Зеркальный элеме"</f>
        <v>Зеркальный элеме</v>
      </c>
      <c r="C8990">
        <v>0</v>
      </c>
      <c r="D8990">
        <v>1492.8719999999998</v>
      </c>
    </row>
    <row r="8991" spans="1:4">
      <c r="A8991" t="str">
        <f>"96366-EB11A"</f>
        <v>96366-EB11A</v>
      </c>
      <c r="B8991" t="str">
        <f>"GLASS-MIRROR,LH"</f>
        <v>GLASS-MIRROR,LH</v>
      </c>
      <c r="C8991">
        <v>10</v>
      </c>
      <c r="D8991">
        <v>1442.6879999999999</v>
      </c>
    </row>
    <row r="8992" spans="1:4">
      <c r="A8992" t="str">
        <f>"96366-EM06A"</f>
        <v>96366-EM06A</v>
      </c>
      <c r="B8992" t="str">
        <f>"Зеркальный элеме"</f>
        <v>Зеркальный элеме</v>
      </c>
      <c r="C8992">
        <v>2</v>
      </c>
      <c r="D8992">
        <v>1343.136</v>
      </c>
    </row>
    <row r="8993" spans="1:4">
      <c r="A8993" t="str">
        <f>"96366-JD01B"</f>
        <v>96366-JD01B</v>
      </c>
      <c r="B8993" t="str">
        <f>"Зеркальный элеме"</f>
        <v>Зеркальный элеме</v>
      </c>
      <c r="C8993">
        <v>5</v>
      </c>
      <c r="D8993">
        <v>1416.9839999999999</v>
      </c>
    </row>
    <row r="8994" spans="1:4">
      <c r="A8994" t="str">
        <f>"96366-JD11A"</f>
        <v>96366-JD11A</v>
      </c>
      <c r="B8994" t="str">
        <f>"Зеркальный элеме"</f>
        <v>Зеркальный элеме</v>
      </c>
      <c r="C8994">
        <v>15</v>
      </c>
      <c r="D8994">
        <v>1422.288</v>
      </c>
    </row>
    <row r="8995" spans="1:4">
      <c r="A8995" t="str">
        <f>"96366-JG15A"</f>
        <v>96366-JG15A</v>
      </c>
      <c r="B8995" t="str">
        <f>"Зеркальный элеме"</f>
        <v>Зеркальный элеме</v>
      </c>
      <c r="C8995">
        <v>12</v>
      </c>
      <c r="D8995">
        <v>1486.3439999999998</v>
      </c>
    </row>
    <row r="8996" spans="1:4">
      <c r="A8996" t="str">
        <f>"96366-JN10A"</f>
        <v>96366-JN10A</v>
      </c>
      <c r="B8996" t="str">
        <f>"Зеркальный элеме"</f>
        <v>Зеркальный элеме</v>
      </c>
      <c r="C8996">
        <v>1</v>
      </c>
      <c r="D8996">
        <v>1280.3040000000001</v>
      </c>
    </row>
    <row r="8997" spans="1:4">
      <c r="A8997" t="str">
        <f>"96366-VB300"</f>
        <v>96366-VB300</v>
      </c>
      <c r="B8997" t="str">
        <f>"MIRROR-GLASS,LH"</f>
        <v>MIRROR-GLASS,LH</v>
      </c>
      <c r="C8997">
        <v>3</v>
      </c>
      <c r="D8997">
        <v>612.81600000000003</v>
      </c>
    </row>
    <row r="8998" spans="1:4">
      <c r="A8998" t="str">
        <f>"96366-ZC90A"</f>
        <v>96366-ZC90A</v>
      </c>
      <c r="B8998" t="str">
        <f>"Зеркальный элеме"</f>
        <v>Зеркальный элеме</v>
      </c>
      <c r="C8998">
        <v>5</v>
      </c>
      <c r="D8998">
        <v>1226.04</v>
      </c>
    </row>
    <row r="8999" spans="1:4">
      <c r="A8999" t="str">
        <f>"96373-4X07E"</f>
        <v>96373-4X07E</v>
      </c>
      <c r="B8999" t="str">
        <f>"Крышка наружного зер"</f>
        <v>Крышка наружного зер</v>
      </c>
      <c r="C8999">
        <v>3</v>
      </c>
      <c r="D8999">
        <v>2566.3199999999997</v>
      </c>
    </row>
    <row r="9000" spans="1:4">
      <c r="A9000" t="str">
        <f>"96373-4X08E"</f>
        <v>96373-4X08E</v>
      </c>
      <c r="B9000" t="str">
        <f>"Крышка наружного зер"</f>
        <v>Крышка наружного зер</v>
      </c>
      <c r="C9000">
        <v>10</v>
      </c>
      <c r="D9000">
        <v>1608.7439999999999</v>
      </c>
    </row>
    <row r="9001" spans="1:4">
      <c r="A9001" t="str">
        <f>"96373-9U08E"</f>
        <v>96373-9U08E</v>
      </c>
      <c r="B9001" t="str">
        <f>"Крышка наружного зер"</f>
        <v>Крышка наружного зер</v>
      </c>
      <c r="C9001">
        <v>13</v>
      </c>
      <c r="D9001">
        <v>1124.856</v>
      </c>
    </row>
    <row r="9002" spans="1:4">
      <c r="A9002" t="str">
        <f>"96373-AX800"</f>
        <v>96373-AX800</v>
      </c>
      <c r="B9002" t="str">
        <f>"COVER-MIRROR BO"</f>
        <v>COVER-MIRROR BO</v>
      </c>
      <c r="C9002">
        <v>0</v>
      </c>
      <c r="D9002">
        <v>1115.0640000000001</v>
      </c>
    </row>
    <row r="9003" spans="1:4">
      <c r="A9003" t="str">
        <f>"96373-JD000"</f>
        <v>96373-JD000</v>
      </c>
      <c r="B9003" t="str">
        <f>"Крышка наружного зер"</f>
        <v>Крышка наружного зер</v>
      </c>
      <c r="C9003">
        <v>7</v>
      </c>
      <c r="D9003">
        <v>2155.056</v>
      </c>
    </row>
    <row r="9004" spans="1:4">
      <c r="A9004" t="str">
        <f>"96373-JD08E"</f>
        <v>96373-JD08E</v>
      </c>
      <c r="B9004" t="str">
        <f>"Крышка наружного зер"</f>
        <v>Крышка наружного зер</v>
      </c>
      <c r="C9004">
        <v>24</v>
      </c>
      <c r="D9004">
        <v>1463.4959999999999</v>
      </c>
    </row>
    <row r="9005" spans="1:4">
      <c r="A9005" t="str">
        <f>"96374-4X07E"</f>
        <v>96374-4X07E</v>
      </c>
      <c r="B9005" t="str">
        <f>"Крышка наружного зер"</f>
        <v>Крышка наружного зер</v>
      </c>
      <c r="C9005">
        <v>2</v>
      </c>
      <c r="D9005">
        <v>2497.7759999999998</v>
      </c>
    </row>
    <row r="9006" spans="1:4">
      <c r="A9006" t="str">
        <f>"96374-4X08E"</f>
        <v>96374-4X08E</v>
      </c>
      <c r="B9006" t="str">
        <f>"Крышка наружного зер"</f>
        <v>Крышка наружного зер</v>
      </c>
      <c r="C9006">
        <v>1</v>
      </c>
      <c r="D9006">
        <v>1492.8719999999998</v>
      </c>
    </row>
    <row r="9007" spans="1:4">
      <c r="A9007" t="str">
        <f>"96374-9U08E"</f>
        <v>96374-9U08E</v>
      </c>
      <c r="B9007" t="str">
        <f>"Крышка наружного зер"</f>
        <v>Крышка наружного зер</v>
      </c>
      <c r="C9007">
        <v>23</v>
      </c>
      <c r="D9007">
        <v>1082.8319999999999</v>
      </c>
    </row>
    <row r="9008" spans="1:4">
      <c r="A9008" t="str">
        <f>"96374-AX600"</f>
        <v>96374-AX600</v>
      </c>
      <c r="B9008" t="str">
        <f>"COVER-MIRROR BO"</f>
        <v>COVER-MIRROR BO</v>
      </c>
      <c r="C9008">
        <v>1</v>
      </c>
      <c r="D9008">
        <v>1237.8719999999998</v>
      </c>
    </row>
    <row r="9009" spans="1:4">
      <c r="A9009" t="str">
        <f>"96374-AX800"</f>
        <v>96374-AX800</v>
      </c>
      <c r="B9009" t="str">
        <f>"COVER-MIRROR BO"</f>
        <v>COVER-MIRROR BO</v>
      </c>
      <c r="C9009">
        <v>6</v>
      </c>
      <c r="D9009">
        <v>1245.624</v>
      </c>
    </row>
    <row r="9010" spans="1:4">
      <c r="A9010" t="str">
        <f>"96374-JD000"</f>
        <v>96374-JD000</v>
      </c>
      <c r="B9010" t="str">
        <f>"Крышка наружного зер"</f>
        <v>Крышка наружного зер</v>
      </c>
      <c r="C9010">
        <v>10</v>
      </c>
      <c r="D9010">
        <v>1526.328</v>
      </c>
    </row>
    <row r="9011" spans="1:4">
      <c r="A9011" t="str">
        <f>"96374-JD08E"</f>
        <v>96374-JD08E</v>
      </c>
      <c r="B9011" t="str">
        <f>"Крышка наружного зер"</f>
        <v>Крышка наружного зер</v>
      </c>
      <c r="C9011">
        <v>10</v>
      </c>
      <c r="D9011">
        <v>1483.896</v>
      </c>
    </row>
    <row r="9012" spans="1:4">
      <c r="A9012" t="str">
        <f>"96409-EG000"</f>
        <v>96409-EG000</v>
      </c>
      <c r="B9012" t="str">
        <f>"Держатель козырь"</f>
        <v>Держатель козырь</v>
      </c>
      <c r="C9012">
        <v>1</v>
      </c>
      <c r="D9012">
        <v>93.432000000000002</v>
      </c>
    </row>
    <row r="9013" spans="1:4">
      <c r="A9013" t="str">
        <f>"96915-EB300"</f>
        <v>96915-EB300</v>
      </c>
      <c r="B9013" t="str">
        <f>"Кансоль"</f>
        <v>Кансоль</v>
      </c>
      <c r="C9013">
        <v>1</v>
      </c>
      <c r="D9013">
        <v>3376.6080000000002</v>
      </c>
    </row>
    <row r="9014" spans="1:4">
      <c r="A9014" t="str">
        <f>"96920-BA010"</f>
        <v>96920-BA010</v>
      </c>
      <c r="B9014" t="str">
        <f>"LID ASSY-CONSOL"</f>
        <v>LID ASSY-CONSOL</v>
      </c>
      <c r="C9014">
        <v>1</v>
      </c>
      <c r="D9014">
        <v>4558.1759999999995</v>
      </c>
    </row>
    <row r="9015" spans="1:4">
      <c r="A9015" t="str">
        <f>"96928-40U01"</f>
        <v>96928-40U01</v>
      </c>
      <c r="B9015" t="str">
        <f>"LOCK-CONSOLE LI"</f>
        <v>LOCK-CONSOLE LI</v>
      </c>
      <c r="C9015">
        <v>4</v>
      </c>
      <c r="D9015">
        <v>323.13599999999997</v>
      </c>
    </row>
    <row r="9016" spans="1:4">
      <c r="A9016" t="str">
        <f>"96935-9U00B"</f>
        <v>96935-9U00B</v>
      </c>
      <c r="B9016" t="str">
        <f>"Пыльник кансоли"</f>
        <v>Пыльник кансоли</v>
      </c>
      <c r="C9016">
        <v>1</v>
      </c>
      <c r="D9016">
        <v>1111.8</v>
      </c>
    </row>
    <row r="9017" spans="1:4">
      <c r="A9017" t="str">
        <f>"96938-40U10"</f>
        <v>96938-40U10</v>
      </c>
      <c r="B9017" t="str">
        <f>"CLIP"</f>
        <v>CLIP</v>
      </c>
      <c r="C9017">
        <v>16</v>
      </c>
      <c r="D9017">
        <v>47.327999999999996</v>
      </c>
    </row>
    <row r="9018" spans="1:4">
      <c r="A9018" t="str">
        <f>"96938-ED000"</f>
        <v>96938-ED000</v>
      </c>
      <c r="B9018" t="str">
        <f>"Пистон облицовки пер"</f>
        <v>Пистон облицовки пер</v>
      </c>
      <c r="C9018">
        <v>0</v>
      </c>
      <c r="D9018">
        <v>48.552</v>
      </c>
    </row>
    <row r="9019" spans="1:4">
      <c r="A9019" t="str">
        <f>"96938-EQ00A"</f>
        <v>96938-EQ00A</v>
      </c>
      <c r="B9019" t="str">
        <f>"Пистон облицовки пер"</f>
        <v>Пистон облицовки пер</v>
      </c>
      <c r="C9019">
        <v>8</v>
      </c>
      <c r="D9019">
        <v>84.86399999999999</v>
      </c>
    </row>
    <row r="9020" spans="1:4">
      <c r="A9020" t="str">
        <f>"96942-2Y901"</f>
        <v>96942-2Y901</v>
      </c>
      <c r="B9020" t="str">
        <f>"BULB"</f>
        <v>BULB</v>
      </c>
      <c r="C9020">
        <v>5</v>
      </c>
      <c r="D9020">
        <v>255.40799999999999</v>
      </c>
    </row>
    <row r="9021" spans="1:4">
      <c r="A9021" t="str">
        <f>"96942-6M800"</f>
        <v>96942-6M800</v>
      </c>
      <c r="B9021" t="str">
        <f>"BULB"</f>
        <v>BULB</v>
      </c>
      <c r="C9021">
        <v>10</v>
      </c>
      <c r="D9021">
        <v>257.03999999999996</v>
      </c>
    </row>
    <row r="9022" spans="1:4">
      <c r="A9022" t="str">
        <f>"98581-1PA8A"</f>
        <v>98581-1PA8A</v>
      </c>
      <c r="B9022" t="str">
        <f>"Датчик подушки безоп"</f>
        <v>Датчик подушки безоп</v>
      </c>
      <c r="C9022">
        <v>2</v>
      </c>
      <c r="D9022">
        <v>5410.4879999999994</v>
      </c>
    </row>
    <row r="9023" spans="1:4">
      <c r="A9023" t="str">
        <f>"98581-AM610"</f>
        <v>98581-AM610</v>
      </c>
      <c r="B9023" t="str">
        <f>"SENSOR-AIR BAG"</f>
        <v>SENSOR-AIR BAG</v>
      </c>
      <c r="C9023">
        <v>3</v>
      </c>
      <c r="D9023">
        <v>6796.4639999999999</v>
      </c>
    </row>
    <row r="9024" spans="1:4">
      <c r="A9024" t="str">
        <f>"98820-3L327"</f>
        <v>98820-3L327</v>
      </c>
      <c r="B9024" t="str">
        <f>"SEN-SIDE AIRBAG"</f>
        <v>SEN-SIDE AIRBAG</v>
      </c>
      <c r="C9024">
        <v>1</v>
      </c>
      <c r="D9024">
        <v>4220.76</v>
      </c>
    </row>
    <row r="9025" spans="1:4">
      <c r="A9025" t="str">
        <f>"98820-EM19A"</f>
        <v>98820-EM19A</v>
      </c>
      <c r="B9025" t="str">
        <f>"Датчик подушек безоп"</f>
        <v>Датчик подушек безоп</v>
      </c>
      <c r="C9025">
        <v>3</v>
      </c>
      <c r="D9025">
        <v>14708.4</v>
      </c>
    </row>
    <row r="9026" spans="1:4">
      <c r="A9026" t="str">
        <f>"98830-AY00A"</f>
        <v>98830-AY00A</v>
      </c>
      <c r="B9026" t="str">
        <f>"Датчик подушки безоп"</f>
        <v>Датчик подушки безоп</v>
      </c>
      <c r="C9026">
        <v>3</v>
      </c>
      <c r="D9026">
        <v>5188.9439999999995</v>
      </c>
    </row>
    <row r="9027" spans="1:4">
      <c r="A9027" t="str">
        <f>"999D3-XT000"</f>
        <v>999D3-XT000</v>
      </c>
      <c r="B9027" t="str">
        <f>"Дефлектор двери плас"</f>
        <v>Дефлектор двери плас</v>
      </c>
      <c r="C9027">
        <v>0</v>
      </c>
      <c r="D9027">
        <v>3884.9759999999997</v>
      </c>
    </row>
    <row r="9028" spans="1:4">
      <c r="A9028" t="str">
        <f>"999J2-5U003"</f>
        <v>999J2-5U003</v>
      </c>
      <c r="B9028" t="str">
        <f>"Брызговики передние "</f>
        <v xml:space="preserve">Брызговики передние </v>
      </c>
      <c r="C9028">
        <v>0</v>
      </c>
      <c r="D9028">
        <v>1871.904</v>
      </c>
    </row>
    <row r="9029" spans="1:4">
      <c r="A9029" t="str">
        <f>"999J2-5U004"</f>
        <v>999J2-5U004</v>
      </c>
      <c r="B9029" t="str">
        <f>"Брызговики задние к-"</f>
        <v>Брызговики задние к-</v>
      </c>
      <c r="C9029">
        <v>0</v>
      </c>
      <c r="D9029">
        <v>2561.424</v>
      </c>
    </row>
    <row r="9030" spans="1:4">
      <c r="A9030" t="str">
        <f>"999J2-CR000-E3"</f>
        <v>999J2-CR000-E3</v>
      </c>
      <c r="B9030" t="str">
        <f>"FR MUDFLAPS SET"</f>
        <v>FR MUDFLAPS SET</v>
      </c>
      <c r="C9030">
        <v>2</v>
      </c>
      <c r="D9030">
        <v>1328.04</v>
      </c>
    </row>
    <row r="9031" spans="1:4">
      <c r="A9031" t="str">
        <f>"999J2-CR000-E4"</f>
        <v>999J2-CR000-E4</v>
      </c>
      <c r="B9031" t="str">
        <f>"MUDFLAPS SET RR"</f>
        <v>MUDFLAPS SET RR</v>
      </c>
      <c r="C9031">
        <v>0</v>
      </c>
      <c r="D9031">
        <v>1243.992</v>
      </c>
    </row>
    <row r="9032" spans="1:4">
      <c r="A9032" t="str">
        <f>"999J2-EP000-04"</f>
        <v>999J2-EP000-04</v>
      </c>
      <c r="B9032" t="str">
        <f>"Брызговики задние к-"</f>
        <v>Брызговики задние к-</v>
      </c>
      <c r="C9032">
        <v>4</v>
      </c>
      <c r="D9032">
        <v>2262.3599999999997</v>
      </c>
    </row>
    <row r="9033" spans="1:4">
      <c r="A9033" t="str">
        <f>"999J2-ES000-03"</f>
        <v>999J2-ES000-03</v>
      </c>
      <c r="B9033" t="str">
        <f>"Брызговики передние "</f>
        <v xml:space="preserve">Брызговики передние </v>
      </c>
      <c r="C9033">
        <v>10</v>
      </c>
      <c r="D9033">
        <v>2902.1039999999998</v>
      </c>
    </row>
    <row r="9034" spans="1:4">
      <c r="A9034" t="str">
        <f>"999J2-EV003"</f>
        <v>999J2-EV003</v>
      </c>
      <c r="B9034" t="str">
        <f>"Брызговики перед"</f>
        <v>Брызговики перед</v>
      </c>
      <c r="C9034">
        <v>0</v>
      </c>
      <c r="D9034">
        <v>1996.752</v>
      </c>
    </row>
    <row r="9035" spans="1:4">
      <c r="A9035" t="str">
        <f>"999J2-EV004"</f>
        <v>999J2-EV004</v>
      </c>
      <c r="B9035" t="str">
        <f>"Брызговики задни"</f>
        <v>Брызговики задни</v>
      </c>
      <c r="C9035">
        <v>0</v>
      </c>
      <c r="D9035">
        <v>2164.44</v>
      </c>
    </row>
    <row r="9036" spans="1:4">
      <c r="A9036" t="str">
        <f>"999J2-KR000-03"</f>
        <v>999J2-KR000-03</v>
      </c>
      <c r="B9036" t="str">
        <f>"Брызговики"</f>
        <v>Брызговики</v>
      </c>
      <c r="C9036">
        <v>1</v>
      </c>
      <c r="D9036">
        <v>1020</v>
      </c>
    </row>
    <row r="9037" spans="1:4">
      <c r="A9037" t="str">
        <f>"999J2-XR000-E3"</f>
        <v>999J2-XR000-E3</v>
      </c>
      <c r="B9037" t="str">
        <f>"Брызговики R51M пере"</f>
        <v>Брызговики R51M пере</v>
      </c>
      <c r="C9037">
        <v>22</v>
      </c>
      <c r="D9037">
        <v>1486.752</v>
      </c>
    </row>
    <row r="9038" spans="1:4">
      <c r="A9038" t="str">
        <f>"999J2-XR000-E4"</f>
        <v>999J2-XR000-E4</v>
      </c>
      <c r="B9038" t="str">
        <f>"Брызговики R51M задн"</f>
        <v>Брызговики R51M задн</v>
      </c>
      <c r="C9038">
        <v>15</v>
      </c>
      <c r="D9038">
        <v>1383.12</v>
      </c>
    </row>
    <row r="9039" spans="1:4">
      <c r="A9039" t="str">
        <f>"999J2-XU000-04"</f>
        <v>999J2-XU000-04</v>
      </c>
      <c r="B9039" t="str">
        <f>"Брызговики R51M задн"</f>
        <v>Брызговики R51M задн</v>
      </c>
      <c r="C9039">
        <v>10</v>
      </c>
      <c r="D9039">
        <v>1507.152</v>
      </c>
    </row>
    <row r="9040" spans="1:4">
      <c r="A9040" t="str">
        <f>"999M1-VP005"</f>
        <v>999M1-VP005</v>
      </c>
      <c r="B9040" t="str">
        <f>"FILTER AIR"</f>
        <v>FILTER AIR</v>
      </c>
      <c r="C9040">
        <v>56</v>
      </c>
      <c r="D9040">
        <v>548.76</v>
      </c>
    </row>
    <row r="9041" spans="1:4">
      <c r="A9041" t="str">
        <f>"999M1-VP051"</f>
        <v>999M1-VP051</v>
      </c>
      <c r="B9041" t="str">
        <f>"Фильтр вентиляции са"</f>
        <v>Фильтр вентиляции са</v>
      </c>
      <c r="C9041">
        <v>42</v>
      </c>
      <c r="D9041">
        <v>434.11199999999997</v>
      </c>
    </row>
    <row r="9042" spans="1:4">
      <c r="A9042" t="str">
        <f>"999M1-VR006"</f>
        <v>999M1-VR006</v>
      </c>
      <c r="B9042" t="str">
        <f>"Фильтр вентиляции са"</f>
        <v>Фильтр вентиляции са</v>
      </c>
      <c r="C9042">
        <v>59</v>
      </c>
      <c r="D9042">
        <v>984.50399999999991</v>
      </c>
    </row>
    <row r="9043" spans="1:4">
      <c r="A9043" t="str">
        <f>"999M1-VS007"</f>
        <v>999M1-VS007</v>
      </c>
      <c r="B9043" t="str">
        <f>"Фильтр вентиляции са"</f>
        <v>Фильтр вентиляции са</v>
      </c>
      <c r="C9043">
        <v>5</v>
      </c>
      <c r="D9043">
        <v>591.19200000000001</v>
      </c>
    </row>
    <row r="9044" spans="1:4">
      <c r="A9044" t="str">
        <f>"999M1-VS251"</f>
        <v>999M1-VS251</v>
      </c>
      <c r="B9044" t="str">
        <f>"Фильтр вентиляции са"</f>
        <v>Фильтр вентиляции са</v>
      </c>
      <c r="C9044">
        <v>139</v>
      </c>
      <c r="D9044">
        <v>926.15999999999985</v>
      </c>
    </row>
    <row r="9045" spans="1:4">
      <c r="A9045" t="str">
        <f>"999MP-1217H-P"</f>
        <v>999MP-1217H-P</v>
      </c>
      <c r="B9045" t="str">
        <f>"Прокладка-гермет"</f>
        <v>Прокладка-гермет</v>
      </c>
      <c r="C9045">
        <v>25</v>
      </c>
      <c r="D9045">
        <v>877.19999999999993</v>
      </c>
    </row>
    <row r="9046" spans="1:4">
      <c r="A9046" t="str">
        <f>"999W2-JT000"</f>
        <v>999W2-JT000</v>
      </c>
      <c r="B9046" t="str">
        <f>"Секретки колесные к-"</f>
        <v>Секретки колесные к-</v>
      </c>
      <c r="C9046">
        <v>5</v>
      </c>
      <c r="D9046">
        <v>2313.768</v>
      </c>
    </row>
    <row r="9047" spans="1:4">
      <c r="A9047" t="str">
        <f>"A0101-2X926"</f>
        <v>A0101-2X926</v>
      </c>
      <c r="B9047" t="str">
        <f t="shared" ref="B9047:B9064" si="179">"Прокладки двигателя "</f>
        <v xml:space="preserve">Прокладки двигателя </v>
      </c>
      <c r="C9047">
        <v>2</v>
      </c>
      <c r="D9047">
        <v>5308.079999999999</v>
      </c>
    </row>
    <row r="9048" spans="1:4">
      <c r="A9048" t="str">
        <f>"A0101-2Y926"</f>
        <v>A0101-2Y926</v>
      </c>
      <c r="B9048" t="str">
        <f t="shared" si="179"/>
        <v xml:space="preserve">Прокладки двигателя </v>
      </c>
      <c r="C9048">
        <v>3</v>
      </c>
      <c r="D9048">
        <v>7814.8319999999994</v>
      </c>
    </row>
    <row r="9049" spans="1:4">
      <c r="A9049" t="str">
        <f>"A0101-6N285"</f>
        <v>A0101-6N285</v>
      </c>
      <c r="B9049" t="str">
        <f t="shared" si="179"/>
        <v xml:space="preserve">Прокладки двигателя </v>
      </c>
      <c r="C9049">
        <v>3</v>
      </c>
      <c r="D9049">
        <v>3805.0079999999998</v>
      </c>
    </row>
    <row r="9050" spans="1:4">
      <c r="A9050" t="str">
        <f>"A0101-6Y025"</f>
        <v>A0101-6Y025</v>
      </c>
      <c r="B9050" t="str">
        <f t="shared" si="179"/>
        <v xml:space="preserve">Прокладки двигателя </v>
      </c>
      <c r="C9050">
        <v>1</v>
      </c>
      <c r="D9050">
        <v>6791.16</v>
      </c>
    </row>
    <row r="9051" spans="1:4">
      <c r="A9051" t="str">
        <f>"A0101-8H725"</f>
        <v>A0101-8H725</v>
      </c>
      <c r="B9051" t="str">
        <f t="shared" si="179"/>
        <v xml:space="preserve">Прокладки двигателя </v>
      </c>
      <c r="C9051">
        <v>6</v>
      </c>
      <c r="D9051">
        <v>3712.3919999999998</v>
      </c>
    </row>
    <row r="9052" spans="1:4">
      <c r="A9052" t="str">
        <f>"A0101-9Y00J"</f>
        <v>A0101-9Y00J</v>
      </c>
      <c r="B9052" t="str">
        <f t="shared" si="179"/>
        <v xml:space="preserve">Прокладки двигателя </v>
      </c>
      <c r="C9052">
        <v>0</v>
      </c>
      <c r="D9052">
        <v>3585.096</v>
      </c>
    </row>
    <row r="9053" spans="1:4">
      <c r="A9053" t="str">
        <f>"A0101-9Y426"</f>
        <v>A0101-9Y426</v>
      </c>
      <c r="B9053" t="str">
        <f t="shared" si="179"/>
        <v xml:space="preserve">Прокладки двигателя </v>
      </c>
      <c r="C9053">
        <v>4</v>
      </c>
      <c r="D9053">
        <v>6951.0959999999995</v>
      </c>
    </row>
    <row r="9054" spans="1:4">
      <c r="A9054" t="str">
        <f>"A0101-AC385"</f>
        <v>A0101-AC385</v>
      </c>
      <c r="B9054" t="str">
        <f t="shared" si="179"/>
        <v xml:space="preserve">Прокладки двигателя </v>
      </c>
      <c r="C9054">
        <v>8</v>
      </c>
      <c r="D9054">
        <v>7005.36</v>
      </c>
    </row>
    <row r="9055" spans="1:4">
      <c r="A9055" t="str">
        <f>"A0101-AE226"</f>
        <v>A0101-AE226</v>
      </c>
      <c r="B9055" t="str">
        <f t="shared" si="179"/>
        <v xml:space="preserve">Прокладки двигателя </v>
      </c>
      <c r="C9055">
        <v>7</v>
      </c>
      <c r="D9055">
        <v>3643.0320000000002</v>
      </c>
    </row>
    <row r="9056" spans="1:4">
      <c r="A9056" t="str">
        <f>"A0101-CA025"</f>
        <v>A0101-CA025</v>
      </c>
      <c r="B9056" t="str">
        <f t="shared" si="179"/>
        <v xml:space="preserve">Прокладки двигателя </v>
      </c>
      <c r="C9056">
        <v>11</v>
      </c>
      <c r="D9056">
        <v>6443.9520000000002</v>
      </c>
    </row>
    <row r="9057" spans="1:4">
      <c r="A9057" t="str">
        <f>"A0101-CA026"</f>
        <v>A0101-CA026</v>
      </c>
      <c r="B9057" t="str">
        <f t="shared" si="179"/>
        <v xml:space="preserve">Прокладки двигателя </v>
      </c>
      <c r="C9057">
        <v>13</v>
      </c>
      <c r="D9057">
        <v>6371.3279999999995</v>
      </c>
    </row>
    <row r="9058" spans="1:4">
      <c r="A9058" t="str">
        <f>"A0101-EN287"</f>
        <v>A0101-EN287</v>
      </c>
      <c r="B9058" t="str">
        <f t="shared" si="179"/>
        <v xml:space="preserve">Прокладки двигателя </v>
      </c>
      <c r="C9058">
        <v>12</v>
      </c>
      <c r="D9058">
        <v>3798.48</v>
      </c>
    </row>
    <row r="9059" spans="1:4">
      <c r="A9059" t="str">
        <f>"A0101-VB125"</f>
        <v>A0101-VB125</v>
      </c>
      <c r="B9059" t="str">
        <f t="shared" si="179"/>
        <v xml:space="preserve">Прокладки двигателя </v>
      </c>
      <c r="C9059">
        <v>8</v>
      </c>
      <c r="D9059">
        <v>4723.8239999999996</v>
      </c>
    </row>
    <row r="9060" spans="1:4">
      <c r="A9060" t="str">
        <f>"A0101-VC125"</f>
        <v>A0101-VC125</v>
      </c>
      <c r="B9060" t="str">
        <f t="shared" si="179"/>
        <v xml:space="preserve">Прокладки двигателя </v>
      </c>
      <c r="C9060">
        <v>14</v>
      </c>
      <c r="D9060">
        <v>4773.192</v>
      </c>
    </row>
    <row r="9061" spans="1:4">
      <c r="A9061" t="str">
        <f>"A0101-VC128"</f>
        <v>A0101-VC128</v>
      </c>
      <c r="B9061" t="str">
        <f t="shared" si="179"/>
        <v xml:space="preserve">Прокладки двигателя </v>
      </c>
      <c r="C9061">
        <v>19</v>
      </c>
      <c r="D9061">
        <v>4552.8719999999994</v>
      </c>
    </row>
    <row r="9062" spans="1:4">
      <c r="A9062" t="str">
        <f>"A0101-VK527"</f>
        <v>A0101-VK527</v>
      </c>
      <c r="B9062" t="str">
        <f t="shared" si="179"/>
        <v xml:space="preserve">Прокладки двигателя </v>
      </c>
      <c r="C9062">
        <v>4</v>
      </c>
      <c r="D9062">
        <v>3986.9759999999997</v>
      </c>
    </row>
    <row r="9063" spans="1:4">
      <c r="A9063" t="str">
        <f>"A1042-6N285"</f>
        <v>A1042-6N285</v>
      </c>
      <c r="B9063" t="str">
        <f t="shared" si="179"/>
        <v xml:space="preserve">Прокладки двигателя </v>
      </c>
      <c r="C9063">
        <v>9</v>
      </c>
      <c r="D9063">
        <v>2849.88</v>
      </c>
    </row>
    <row r="9064" spans="1:4">
      <c r="A9064" t="str">
        <f>"A1042-EN287"</f>
        <v>A1042-EN287</v>
      </c>
      <c r="B9064" t="str">
        <f t="shared" si="179"/>
        <v xml:space="preserve">Прокладки двигателя </v>
      </c>
      <c r="C9064">
        <v>0</v>
      </c>
      <c r="D9064">
        <v>2834.3759999999997</v>
      </c>
    </row>
    <row r="9065" spans="1:4">
      <c r="A9065" t="str">
        <f>"A1720-01B01"</f>
        <v>A1720-01B01</v>
      </c>
      <c r="B9065" t="str">
        <f>"BELT-FAN"</f>
        <v>BELT-FAN</v>
      </c>
      <c r="C9065">
        <v>4</v>
      </c>
      <c r="D9065">
        <v>801.72</v>
      </c>
    </row>
    <row r="9066" spans="1:4">
      <c r="A9066" t="str">
        <f>"A1720-0C401"</f>
        <v>A1720-0C401</v>
      </c>
      <c r="B9066" t="str">
        <f>"Ремень вентилятора к"</f>
        <v>Ремень вентилятора к</v>
      </c>
      <c r="C9066">
        <v>3</v>
      </c>
      <c r="D9066">
        <v>512.04</v>
      </c>
    </row>
    <row r="9067" spans="1:4">
      <c r="A9067" t="str">
        <f>"A1720-79B01"</f>
        <v>A1720-79B01</v>
      </c>
      <c r="B9067" t="str">
        <f>"Ремень помпы охлажда"</f>
        <v>Ремень помпы охлажда</v>
      </c>
      <c r="C9067">
        <v>1</v>
      </c>
      <c r="D9067">
        <v>363.12</v>
      </c>
    </row>
    <row r="9068" spans="1:4">
      <c r="A9068" t="str">
        <f>"A1720-9C604"</f>
        <v>A1720-9C604</v>
      </c>
      <c r="B9068" t="str">
        <f>"Ремень вентилято"</f>
        <v>Ремень вентилято</v>
      </c>
      <c r="C9068">
        <v>1</v>
      </c>
      <c r="D9068">
        <v>612</v>
      </c>
    </row>
    <row r="9069" spans="1:4">
      <c r="A9069" t="str">
        <f>"A172A-59M9A-GA"</f>
        <v>A172A-59M9A-GA</v>
      </c>
      <c r="B9069" t="str">
        <f>"FAN BELT"</f>
        <v>FAN BELT</v>
      </c>
      <c r="C9069">
        <v>1</v>
      </c>
      <c r="D9069">
        <v>253.36799999999997</v>
      </c>
    </row>
    <row r="9070" spans="1:4">
      <c r="A9070" t="str">
        <f>"A1920-30R12"</f>
        <v>A1920-30R12</v>
      </c>
      <c r="B9070" t="str">
        <f>"РЕМЕНЬ КОМПР."</f>
        <v>РЕМЕНЬ КОМПР.</v>
      </c>
      <c r="C9070">
        <v>2</v>
      </c>
      <c r="D9070">
        <v>306</v>
      </c>
    </row>
    <row r="9071" spans="1:4">
      <c r="A9071" t="str">
        <f>"A1950-72B00"</f>
        <v>A1950-72B00</v>
      </c>
      <c r="B9071" t="str">
        <f>"Ремень гидроусилител"</f>
        <v>Ремень гидроусилител</v>
      </c>
      <c r="C9071">
        <v>4</v>
      </c>
      <c r="D9071">
        <v>584.66399999999999</v>
      </c>
    </row>
    <row r="9072" spans="1:4">
      <c r="A9072" t="str">
        <f>"A2010-8H501"</f>
        <v>A2010-8H501</v>
      </c>
      <c r="B9072" t="str">
        <f>"Поршень двигател"</f>
        <v>Поршень двигател</v>
      </c>
      <c r="C9072">
        <v>18</v>
      </c>
      <c r="D9072">
        <v>1615.68</v>
      </c>
    </row>
    <row r="9073" spans="1:4">
      <c r="A9073" t="str">
        <f>"A2010-8H571"</f>
        <v>A2010-8H571</v>
      </c>
      <c r="B9073" t="str">
        <f>"PISTON,W/PIN"</f>
        <v>PISTON,W/PIN</v>
      </c>
      <c r="C9073">
        <v>22</v>
      </c>
      <c r="D9073">
        <v>1568.76</v>
      </c>
    </row>
    <row r="9074" spans="1:4">
      <c r="A9074" t="str">
        <f>"A2010-8J172"</f>
        <v>A2010-8J172</v>
      </c>
      <c r="B9074" t="str">
        <f>"Поршень двигател"</f>
        <v>Поршень двигател</v>
      </c>
      <c r="C9074">
        <v>1</v>
      </c>
      <c r="D9074">
        <v>1786.2239999999999</v>
      </c>
    </row>
    <row r="9075" spans="1:4">
      <c r="A9075" t="str">
        <f>"A2010-9H511"</f>
        <v>A2010-9H511</v>
      </c>
      <c r="B9075" t="str">
        <f>"Поршень двигател"</f>
        <v>Поршень двигател</v>
      </c>
      <c r="C9075">
        <v>3</v>
      </c>
      <c r="D9075">
        <v>1565.088</v>
      </c>
    </row>
    <row r="9076" spans="1:4">
      <c r="A9076" t="str">
        <f>"A2010-9H576"</f>
        <v>A2010-9H576</v>
      </c>
      <c r="B9076" t="str">
        <f>"PISTON,W/PIN"</f>
        <v>PISTON,W/PIN</v>
      </c>
      <c r="C9076">
        <v>16</v>
      </c>
      <c r="D9076">
        <v>1563.4560000000001</v>
      </c>
    </row>
    <row r="9077" spans="1:4">
      <c r="A9077" t="str">
        <f>"A2010-AU072"</f>
        <v>A2010-AU072</v>
      </c>
      <c r="B9077" t="str">
        <f>"Поршень двигател"</f>
        <v>Поршень двигател</v>
      </c>
      <c r="C9077">
        <v>17</v>
      </c>
      <c r="D9077">
        <v>2318.6639999999998</v>
      </c>
    </row>
    <row r="9078" spans="1:4">
      <c r="A9078" t="str">
        <f>"A2010-AU300"</f>
        <v>A2010-AU300</v>
      </c>
      <c r="B9078" t="str">
        <f>"PISTON,W/PIN"</f>
        <v>PISTON,W/PIN</v>
      </c>
      <c r="C9078">
        <v>12</v>
      </c>
      <c r="D9078">
        <v>2816.424</v>
      </c>
    </row>
    <row r="9079" spans="1:4">
      <c r="A9079" t="str">
        <f>"A2010-AU301"</f>
        <v>A2010-AU301</v>
      </c>
      <c r="B9079" t="str">
        <f>"PISTON,W/PIN"</f>
        <v>PISTON,W/PIN</v>
      </c>
      <c r="C9079">
        <v>2</v>
      </c>
      <c r="D9079">
        <v>2863.752</v>
      </c>
    </row>
    <row r="9080" spans="1:4">
      <c r="A9080" t="str">
        <f>"A2010-AU371"</f>
        <v>A2010-AU371</v>
      </c>
      <c r="B9080" t="str">
        <f>"PISTON,W/PIN"</f>
        <v>PISTON,W/PIN</v>
      </c>
      <c r="C9080">
        <v>0</v>
      </c>
      <c r="D9080">
        <v>2869.4639999999995</v>
      </c>
    </row>
    <row r="9081" spans="1:4">
      <c r="A9081" t="str">
        <f>"A2010-AU372"</f>
        <v>A2010-AU372</v>
      </c>
      <c r="B9081" t="str">
        <f>"PISTON,W/PIN"</f>
        <v>PISTON,W/PIN</v>
      </c>
      <c r="C9081">
        <v>4</v>
      </c>
      <c r="D9081">
        <v>2861.712</v>
      </c>
    </row>
    <row r="9082" spans="1:4">
      <c r="A9082" t="str">
        <f>"A2010-BN900"</f>
        <v>A2010-BN900</v>
      </c>
      <c r="B9082" t="str">
        <f>"PISTON,W/PIN"</f>
        <v>PISTON,W/PIN</v>
      </c>
      <c r="C9082">
        <v>0</v>
      </c>
      <c r="D9082">
        <v>2177.904</v>
      </c>
    </row>
    <row r="9083" spans="1:4">
      <c r="A9083" t="str">
        <f>"A2010-BN972"</f>
        <v>A2010-BN972</v>
      </c>
      <c r="B9083" t="str">
        <f>"Поршень двигател"</f>
        <v>Поршень двигател</v>
      </c>
      <c r="C9083">
        <v>8</v>
      </c>
      <c r="D9083">
        <v>2135.88</v>
      </c>
    </row>
    <row r="9084" spans="1:4">
      <c r="A9084" t="str">
        <f>"A2010-CK80B"</f>
        <v>A2010-CK80B</v>
      </c>
      <c r="B9084" t="str">
        <f>"Поршень двигател"</f>
        <v>Поршень двигател</v>
      </c>
      <c r="C9084">
        <v>3</v>
      </c>
      <c r="D9084">
        <v>1584.2639999999999</v>
      </c>
    </row>
    <row r="9085" spans="1:4">
      <c r="A9085" t="str">
        <f>"A2010-CK81B"</f>
        <v>A2010-CK81B</v>
      </c>
      <c r="B9085" t="str">
        <f>"Поршень двигател"</f>
        <v>Поршень двигател</v>
      </c>
      <c r="C9085">
        <v>8</v>
      </c>
      <c r="D9085">
        <v>1544.28</v>
      </c>
    </row>
    <row r="9086" spans="1:4">
      <c r="A9086" t="str">
        <f>"A2010-EB38A"</f>
        <v>A2010-EB38A</v>
      </c>
      <c r="B9086" t="str">
        <f>"Поршень двигател"</f>
        <v>Поршень двигател</v>
      </c>
      <c r="C9086">
        <v>0</v>
      </c>
      <c r="D9086">
        <v>4026.96</v>
      </c>
    </row>
    <row r="9087" spans="1:4">
      <c r="A9087" t="str">
        <f>"A2010-EB39A"</f>
        <v>A2010-EB39A</v>
      </c>
      <c r="B9087" t="str">
        <f>"Поршень двигател"</f>
        <v>Поршень двигател</v>
      </c>
      <c r="C9087">
        <v>4</v>
      </c>
      <c r="D9087">
        <v>4018.3919999999998</v>
      </c>
    </row>
    <row r="9088" spans="1:4">
      <c r="A9088" t="str">
        <f>"A2010-VB372"</f>
        <v>A2010-VB372</v>
      </c>
      <c r="B9088" t="str">
        <f>"PISTON WITH PIN"</f>
        <v>PISTON WITH PIN</v>
      </c>
      <c r="C9088">
        <v>12</v>
      </c>
      <c r="D9088">
        <v>2708.3040000000001</v>
      </c>
    </row>
    <row r="9089" spans="1:4">
      <c r="A9089" t="str">
        <f>"A2033-AE003"</f>
        <v>A2033-AE003</v>
      </c>
      <c r="B9089" t="str">
        <f>"Комплект поршневых к"</f>
        <v>Комплект поршневых к</v>
      </c>
      <c r="C9089">
        <v>38</v>
      </c>
      <c r="D9089">
        <v>671.56799999999998</v>
      </c>
    </row>
    <row r="9090" spans="1:4">
      <c r="A9090" t="str">
        <f>"A2033-CK80A"</f>
        <v>A2033-CK80A</v>
      </c>
      <c r="B9090" t="str">
        <f>"Комплект поршневых к"</f>
        <v>Комплект поршневых к</v>
      </c>
      <c r="C9090">
        <v>46</v>
      </c>
      <c r="D9090">
        <v>600.16800000000001</v>
      </c>
    </row>
    <row r="9091" spans="1:4">
      <c r="A9091" t="str">
        <f>"A2035-AE003"</f>
        <v>A2035-AE003</v>
      </c>
      <c r="B9091" t="str">
        <f>"RING SET-PISTON"</f>
        <v>RING SET-PISTON</v>
      </c>
      <c r="C9091">
        <v>10</v>
      </c>
      <c r="D9091">
        <v>603.43200000000002</v>
      </c>
    </row>
    <row r="9092" spans="1:4">
      <c r="A9092" t="str">
        <f>"A2208-6N20A"</f>
        <v>A2208-6N20A</v>
      </c>
      <c r="B9092" t="str">
        <f>"Вкладыши коленвала к"</f>
        <v>Вкладыши коленвала к</v>
      </c>
      <c r="C9092">
        <v>11</v>
      </c>
      <c r="D9092">
        <v>939.62399999999991</v>
      </c>
    </row>
    <row r="9093" spans="1:4">
      <c r="A9093" t="str">
        <f>"A2208-ES60A"</f>
        <v>A2208-ES60A</v>
      </c>
      <c r="B9093" t="str">
        <f>"Вкладыш коленвала (1"</f>
        <v>Вкладыш коленвала (1</v>
      </c>
      <c r="C9093">
        <v>7</v>
      </c>
      <c r="D9093">
        <v>989.80799999999999</v>
      </c>
    </row>
    <row r="9094" spans="1:4">
      <c r="A9094" t="str">
        <f>"A2303-0Y000"</f>
        <v>A2303-0Y000</v>
      </c>
      <c r="B9094" t="str">
        <f>"Шкив коленвала"</f>
        <v>Шкив коленвала</v>
      </c>
      <c r="C9094">
        <v>5</v>
      </c>
      <c r="D9094">
        <v>6832.7759999999989</v>
      </c>
    </row>
    <row r="9095" spans="1:4">
      <c r="A9095" t="str">
        <f>"A3270-JK20B"</f>
        <v>A3270-JK20B</v>
      </c>
      <c r="B9095" t="str">
        <f>"Прокладка клапанной "</f>
        <v xml:space="preserve">Прокладка клапанной </v>
      </c>
      <c r="C9095">
        <v>9</v>
      </c>
      <c r="D9095">
        <v>295.8</v>
      </c>
    </row>
    <row r="9096" spans="1:4">
      <c r="A9096" t="str">
        <f>"A4002-EQ360"</f>
        <v>A4002-EQ360</v>
      </c>
      <c r="B9096" t="str">
        <f>"MANIFOLD ASSY-E"</f>
        <v>MANIFOLD ASSY-E</v>
      </c>
      <c r="C9096">
        <v>8</v>
      </c>
      <c r="D9096">
        <v>27236.448</v>
      </c>
    </row>
    <row r="9097" spans="1:4">
      <c r="A9097" t="str">
        <f>"A4401-VC126"</f>
        <v>A4401-VC126</v>
      </c>
      <c r="B9097" t="str">
        <f>"Прокладки турбины к-"</f>
        <v>Прокладки турбины к-</v>
      </c>
      <c r="C9097">
        <v>4</v>
      </c>
      <c r="D9097">
        <v>2228.0879999999997</v>
      </c>
    </row>
    <row r="9098" spans="1:4">
      <c r="A9098" t="str">
        <f>"A4461-EQ40A"</f>
        <v>A4461-EQ40A</v>
      </c>
      <c r="B9098" t="str">
        <f>"Охладитель возду"</f>
        <v>Охладитель возду</v>
      </c>
      <c r="C9098">
        <v>3</v>
      </c>
      <c r="D9098">
        <v>27996.143999999997</v>
      </c>
    </row>
    <row r="9099" spans="1:4">
      <c r="A9099" t="str">
        <f>"A4463-VC10A"</f>
        <v>A4463-VC10A</v>
      </c>
      <c r="B9099" t="str">
        <f>"Патрубок воздушн"</f>
        <v>Патрубок воздушн</v>
      </c>
      <c r="C9099">
        <v>10</v>
      </c>
      <c r="D9099">
        <v>2287.248</v>
      </c>
    </row>
    <row r="9100" spans="1:4">
      <c r="A9100" t="str">
        <f>"A4469-VC10A"</f>
        <v>A4469-VC10A</v>
      </c>
      <c r="B9100" t="str">
        <f>"Патрубок воздушн"</f>
        <v>Патрубок воздушн</v>
      </c>
      <c r="C9100">
        <v>2</v>
      </c>
      <c r="D9100">
        <v>2332.5360000000001</v>
      </c>
    </row>
    <row r="9101" spans="1:4">
      <c r="A9101" t="str">
        <f>"A4D01-ES60A"</f>
        <v>A4D01-ES60A</v>
      </c>
      <c r="B9101" t="str">
        <f>"Прокладки турбины к-"</f>
        <v>Прокладки турбины к-</v>
      </c>
      <c r="C9101">
        <v>1</v>
      </c>
      <c r="D9101">
        <v>1329.6719999999998</v>
      </c>
    </row>
    <row r="9102" spans="1:4">
      <c r="A9102" t="str">
        <f>"A5208-W1106"</f>
        <v>A5208-W1106</v>
      </c>
      <c r="B9102" t="str">
        <f>"FILTER ASSY-OIL"</f>
        <v>FILTER ASSY-OIL</v>
      </c>
      <c r="C9102">
        <v>3</v>
      </c>
      <c r="D9102">
        <v>319.464</v>
      </c>
    </row>
    <row r="9103" spans="1:4">
      <c r="A9103" t="str">
        <f>"A6546-T3401"</f>
        <v>A6546-T3401</v>
      </c>
      <c r="B9103" t="str">
        <f>"ELEMENT ASSY"</f>
        <v>ELEMENT ASSY</v>
      </c>
      <c r="C9103">
        <v>1</v>
      </c>
      <c r="D9103">
        <v>571.19999999999993</v>
      </c>
    </row>
    <row r="9104" spans="1:4">
      <c r="A9104" t="str">
        <f>"A6600-VG226"</f>
        <v>A6600-VG226</v>
      </c>
      <c r="B9104" t="str">
        <f>"Форсунка топливн"</f>
        <v>Форсунка топливн</v>
      </c>
      <c r="C9104">
        <v>16</v>
      </c>
      <c r="D9104">
        <v>10234.271999999999</v>
      </c>
    </row>
    <row r="9105" spans="1:4">
      <c r="A9105" t="str">
        <f>"A6860-AW42B"</f>
        <v>A6860-AW42B</v>
      </c>
      <c r="B9105" t="str">
        <f>"Регулировочный клапа"</f>
        <v>Регулировочный клапа</v>
      </c>
      <c r="C9105">
        <v>30</v>
      </c>
      <c r="D9105">
        <v>3775.2239999999997</v>
      </c>
    </row>
    <row r="9106" spans="1:4">
      <c r="A9106" t="str">
        <f>"A7042-0M024"</f>
        <v>A7042-0M024</v>
      </c>
      <c r="B9106" t="str">
        <f>"Насос топливный"</f>
        <v>Насос топливный</v>
      </c>
      <c r="C9106">
        <v>1</v>
      </c>
      <c r="D9106">
        <v>7138.3680000000004</v>
      </c>
    </row>
    <row r="9107" spans="1:4">
      <c r="A9107" t="str">
        <f>"A7042-1W700"</f>
        <v>A7042-1W700</v>
      </c>
      <c r="B9107" t="str">
        <f>"Насос топливный"</f>
        <v>Насос топливный</v>
      </c>
      <c r="C9107">
        <v>2</v>
      </c>
      <c r="D9107">
        <v>4705.4639999999999</v>
      </c>
    </row>
    <row r="9108" spans="1:4">
      <c r="A9108" t="str">
        <f>"A7042-31U08"</f>
        <v>A7042-31U08</v>
      </c>
      <c r="B9108" t="str">
        <f>"Насос топливный"</f>
        <v>Насос топливный</v>
      </c>
      <c r="C9108">
        <v>4</v>
      </c>
      <c r="D9108">
        <v>4458.2159999999994</v>
      </c>
    </row>
    <row r="9109" spans="1:4">
      <c r="A9109" t="str">
        <f>"A7342-79900"</f>
        <v>A7342-79900</v>
      </c>
      <c r="B9109" t="str">
        <f>"Кольцо уплотнительно"</f>
        <v>Кольцо уплотнительно</v>
      </c>
      <c r="C9109">
        <v>8</v>
      </c>
      <c r="D9109">
        <v>434.928</v>
      </c>
    </row>
    <row r="9110" spans="1:4">
      <c r="A9110" t="str">
        <f>"B08A0-AU000"</f>
        <v>B08A0-AU000</v>
      </c>
      <c r="B9110" t="str">
        <f>"THREE WAY CATAL"</f>
        <v>THREE WAY CATAL</v>
      </c>
      <c r="C9110">
        <v>0</v>
      </c>
      <c r="D9110">
        <v>14419.128000000001</v>
      </c>
    </row>
    <row r="9111" spans="1:4">
      <c r="A9111" t="str">
        <f>"B1010-0W00J"</f>
        <v>B1010-0W00J</v>
      </c>
      <c r="B9111" t="str">
        <f>"Насос жидкости охлаж"</f>
        <v>Насос жидкости охлаж</v>
      </c>
      <c r="C9111">
        <v>5</v>
      </c>
      <c r="D9111">
        <v>3150.9839999999999</v>
      </c>
    </row>
    <row r="9112" spans="1:4">
      <c r="A9112" t="str">
        <f>"B1010-1GZ0A"</f>
        <v>B1010-1GZ0A</v>
      </c>
      <c r="B9112" t="str">
        <f>"Насос жидкости охлаж"</f>
        <v>Насос жидкости охлаж</v>
      </c>
      <c r="C9112">
        <v>2</v>
      </c>
      <c r="D9112">
        <v>1767.048</v>
      </c>
    </row>
    <row r="9113" spans="1:4">
      <c r="A9113" t="str">
        <f>"B1010-31UXG"</f>
        <v>B1010-31UXG</v>
      </c>
      <c r="B9113" t="str">
        <f>"Насос жидкости охлаж"</f>
        <v>Насос жидкости охлаж</v>
      </c>
      <c r="C9113">
        <v>6</v>
      </c>
      <c r="D9113">
        <v>2348.4479999999999</v>
      </c>
    </row>
    <row r="9114" spans="1:4">
      <c r="A9114" t="str">
        <f>"B1010-53JXC"</f>
        <v>B1010-53JXC</v>
      </c>
      <c r="B9114" t="str">
        <f>"Насос жидкости охлаж"</f>
        <v>Насос жидкости охлаж</v>
      </c>
      <c r="C9114">
        <v>15</v>
      </c>
      <c r="D9114">
        <v>1477.7760000000001</v>
      </c>
    </row>
    <row r="9115" spans="1:4">
      <c r="A9115" t="str">
        <f>"B1010-VB126"</f>
        <v>B1010-VB126</v>
      </c>
      <c r="B9115" t="str">
        <f>"Насос воды (помп"</f>
        <v>Насос воды (помп</v>
      </c>
      <c r="C9115">
        <v>3</v>
      </c>
      <c r="D9115">
        <v>2735.64</v>
      </c>
    </row>
    <row r="9116" spans="1:4">
      <c r="A9116" t="str">
        <f>"B1460-0W517"</f>
        <v>B1460-0W517</v>
      </c>
      <c r="B9116" t="str">
        <f>"Радиатор охлажде"</f>
        <v>Радиатор охлажде</v>
      </c>
      <c r="C9116">
        <v>0</v>
      </c>
      <c r="D9116">
        <v>14338.344000000001</v>
      </c>
    </row>
    <row r="9117" spans="1:4">
      <c r="A9117" t="str">
        <f>"B1481-5U01A"</f>
        <v>B1481-5U01A</v>
      </c>
      <c r="B9117" t="str">
        <f>"Мотор вентилятора в "</f>
        <v xml:space="preserve">Мотор вентилятора в </v>
      </c>
      <c r="C9117">
        <v>4</v>
      </c>
      <c r="D9117">
        <v>12416.255999999999</v>
      </c>
    </row>
    <row r="9118" spans="1:4">
      <c r="A9118" t="str">
        <f>"B2320-AU370"</f>
        <v>B2320-AU370</v>
      </c>
      <c r="B9118" t="str">
        <f>"HOSE"</f>
        <v>HOSE</v>
      </c>
      <c r="C9118">
        <v>1</v>
      </c>
      <c r="D9118">
        <v>1224</v>
      </c>
    </row>
    <row r="9119" spans="1:4">
      <c r="A9119" t="str">
        <f>"B2690-8J001"</f>
        <v>B2690-8J001</v>
      </c>
      <c r="B9119" t="str">
        <f>"Датчик кислорода (ля"</f>
        <v>Датчик кислорода (ля</v>
      </c>
      <c r="C9119">
        <v>31</v>
      </c>
      <c r="D9119">
        <v>1111.8</v>
      </c>
    </row>
    <row r="9120" spans="1:4">
      <c r="A9120" t="str">
        <f>"B3731-4M526"</f>
        <v>B3731-4M526</v>
      </c>
      <c r="B9120" t="str">
        <f>"Датчик положения кол"</f>
        <v>Датчик положения кол</v>
      </c>
      <c r="C9120">
        <v>11</v>
      </c>
      <c r="D9120">
        <v>2514.5039999999999</v>
      </c>
    </row>
    <row r="9121" spans="1:4">
      <c r="A9121" t="str">
        <f>"B3731-6N27K"</f>
        <v>B3731-6N27K</v>
      </c>
      <c r="B9121" t="str">
        <f>"Датчик положения вал"</f>
        <v>Датчик положения вал</v>
      </c>
      <c r="C9121">
        <v>7</v>
      </c>
      <c r="D9121">
        <v>2133.0239999999999</v>
      </c>
    </row>
    <row r="9122" spans="1:4">
      <c r="A9122" t="str">
        <f>"B5300-95F0B"</f>
        <v>B5300-95F0B</v>
      </c>
      <c r="B9122" t="str">
        <f>"Прикуриватель"</f>
        <v>Прикуриватель</v>
      </c>
      <c r="C9122">
        <v>4</v>
      </c>
      <c r="D9122">
        <v>427.584</v>
      </c>
    </row>
    <row r="9123" spans="1:4">
      <c r="A9123" t="str">
        <f>"B5567-9U00A"</f>
        <v>B5567-9U00A</v>
      </c>
      <c r="B9123" t="str">
        <f>"Подрулевой блок упра"</f>
        <v>Подрулевой блок упра</v>
      </c>
      <c r="C9123">
        <v>0</v>
      </c>
      <c r="D9123">
        <v>3336.2159999999999</v>
      </c>
    </row>
    <row r="9124" spans="1:4">
      <c r="A9124" t="str">
        <f>"B5567-CC00E"</f>
        <v>B5567-CC00E</v>
      </c>
      <c r="B9124" t="str">
        <f>"Блок подрулевого пер"</f>
        <v>Блок подрулевого пер</v>
      </c>
      <c r="C9124">
        <v>17</v>
      </c>
      <c r="D9124">
        <v>3128.9519999999998</v>
      </c>
    </row>
    <row r="9125" spans="1:4">
      <c r="A9125" t="str">
        <f>"B5567-CF42E"</f>
        <v>B5567-CF42E</v>
      </c>
      <c r="B9125" t="str">
        <f>"Блок подрулевого пер"</f>
        <v>Блок подрулевого пер</v>
      </c>
      <c r="C9125">
        <v>5</v>
      </c>
      <c r="D9125">
        <v>3113.4479999999999</v>
      </c>
    </row>
    <row r="9126" spans="1:4">
      <c r="A9126" t="str">
        <f>"B5567-JD00A"</f>
        <v>B5567-JD00A</v>
      </c>
      <c r="B9126" t="str">
        <f>"Блок подрулевых пере"</f>
        <v>Блок подрулевых пере</v>
      </c>
      <c r="C9126">
        <v>0</v>
      </c>
      <c r="D9126">
        <v>3315.4079999999999</v>
      </c>
    </row>
    <row r="9127" spans="1:4">
      <c r="A9127" t="str">
        <f>"B5567-JG49D"</f>
        <v>B5567-JG49D</v>
      </c>
      <c r="B9127" t="str">
        <f>"BODY-COMBINATIO"</f>
        <v>BODY-COMBINATIO</v>
      </c>
      <c r="C9127">
        <v>0</v>
      </c>
      <c r="D9127">
        <v>3113.0399999999995</v>
      </c>
    </row>
    <row r="9128" spans="1:4">
      <c r="A9128" t="str">
        <f>"B5730-62J26"</f>
        <v>B5730-62J26</v>
      </c>
      <c r="B9128" t="str">
        <f>"Реле указателя повор"</f>
        <v>Реле указателя повор</v>
      </c>
      <c r="C9128">
        <v>4</v>
      </c>
      <c r="D9128">
        <v>891.4799999999999</v>
      </c>
    </row>
    <row r="9129" spans="1:4">
      <c r="A9129" t="str">
        <f>"B6150-95F0A"</f>
        <v>B6150-95F0A</v>
      </c>
      <c r="B9129" t="str">
        <f>"Фара противотуманная"</f>
        <v>Фара противотуманная</v>
      </c>
      <c r="C9129">
        <v>24</v>
      </c>
      <c r="D9129">
        <v>5916</v>
      </c>
    </row>
    <row r="9130" spans="1:4">
      <c r="A9130" t="str">
        <f>"B6150-95F0B"</f>
        <v>B6150-95F0B</v>
      </c>
      <c r="B9130" t="str">
        <f>"Фара противотуманная"</f>
        <v>Фара противотуманная</v>
      </c>
      <c r="C9130">
        <v>21</v>
      </c>
      <c r="D9130">
        <v>5916</v>
      </c>
    </row>
    <row r="9131" spans="1:4">
      <c r="A9131" t="str">
        <f>"B6150-95F0F"</f>
        <v>B6150-95F0F</v>
      </c>
      <c r="B9131" t="str">
        <f>"Фара противотуманная"</f>
        <v>Фара противотуманная</v>
      </c>
      <c r="C9131">
        <v>4</v>
      </c>
      <c r="D9131">
        <v>7956</v>
      </c>
    </row>
    <row r="9132" spans="1:4">
      <c r="A9132" t="str">
        <f>"B6296-4A001"</f>
        <v>B6296-4A001</v>
      </c>
      <c r="B9132" t="str">
        <f>"Лампочка H8 12V"</f>
        <v>Лампочка H8 12V</v>
      </c>
      <c r="C9132">
        <v>15</v>
      </c>
      <c r="D9132">
        <v>971.85599999999999</v>
      </c>
    </row>
    <row r="9133" spans="1:4">
      <c r="A9133" t="str">
        <f>"B6296-89918"</f>
        <v>B6296-89918</v>
      </c>
      <c r="B9133" t="str">
        <f>"BULB"</f>
        <v>BULB</v>
      </c>
      <c r="C9133">
        <v>1</v>
      </c>
      <c r="D9133">
        <v>519.79200000000003</v>
      </c>
    </row>
    <row r="9134" spans="1:4">
      <c r="A9134" t="str">
        <f>"B6550-3Y514"</f>
        <v>B6550-3Y514</v>
      </c>
      <c r="B9134" t="str">
        <f>"Фонарь задний"</f>
        <v>Фонарь задний</v>
      </c>
      <c r="C9134">
        <v>1</v>
      </c>
      <c r="D9134">
        <v>3488.808</v>
      </c>
    </row>
    <row r="9135" spans="1:4">
      <c r="A9135" t="str">
        <f>"B6553-89915"</f>
        <v>B6553-89915</v>
      </c>
      <c r="B9135" t="str">
        <f>"SEALER-REAR COM"</f>
        <v>SEALER-REAR COM</v>
      </c>
      <c r="C9135">
        <v>10</v>
      </c>
      <c r="D9135">
        <v>704.61599999999987</v>
      </c>
    </row>
    <row r="9136" spans="1:4">
      <c r="A9136" t="str">
        <f>"B6555-3Y514"</f>
        <v>B6555-3Y514</v>
      </c>
      <c r="B9136" t="str">
        <f>"Фонарь задний"</f>
        <v>Фонарь задний</v>
      </c>
      <c r="C9136">
        <v>0</v>
      </c>
      <c r="D9136">
        <v>3292.152</v>
      </c>
    </row>
    <row r="9137" spans="1:4">
      <c r="A9137" t="str">
        <f>"B6555-CB00A"</f>
        <v>B6555-CB00A</v>
      </c>
      <c r="B9137" t="str">
        <f>"Фонарь задний"</f>
        <v>Фонарь задний</v>
      </c>
      <c r="C9137">
        <v>10</v>
      </c>
      <c r="D9137">
        <v>4514.1120000000001</v>
      </c>
    </row>
    <row r="9138" spans="1:4">
      <c r="A9138" t="str">
        <f>"B6615-EQ000"</f>
        <v>B6615-EQ000</v>
      </c>
      <c r="B9138" t="str">
        <f>"LAMP ASSY-DRIVI"</f>
        <v>LAMP ASSY-DRIVI</v>
      </c>
      <c r="C9138">
        <v>1</v>
      </c>
      <c r="D9138">
        <v>10781.4</v>
      </c>
    </row>
    <row r="9139" spans="1:4">
      <c r="A9139" t="str">
        <f>"B6A50-8990A"</f>
        <v>B6A50-8990A</v>
      </c>
      <c r="B9139" t="str">
        <f>"Фара противотуманная"</f>
        <v>Фара противотуманная</v>
      </c>
      <c r="C9139">
        <v>3</v>
      </c>
      <c r="D9139">
        <v>4652.0159999999996</v>
      </c>
    </row>
    <row r="9140" spans="1:4">
      <c r="A9140" t="str">
        <f>"B6A55-8990A"</f>
        <v>B6A55-8990A</v>
      </c>
      <c r="B9140" t="str">
        <f>"Фара противотуманная"</f>
        <v>Фара противотуманная</v>
      </c>
      <c r="C9140">
        <v>1</v>
      </c>
      <c r="D9140">
        <v>4734.8399999999992</v>
      </c>
    </row>
    <row r="9141" spans="1:4">
      <c r="A9141" t="str">
        <f>"B7277-1CA0A"</f>
        <v>B7277-1CA0A</v>
      </c>
      <c r="B9141" t="str">
        <f>"Фильтр вентиляции са"</f>
        <v>Фильтр вентиляции са</v>
      </c>
      <c r="C9141">
        <v>142</v>
      </c>
      <c r="D9141">
        <v>1751.136</v>
      </c>
    </row>
    <row r="9142" spans="1:4">
      <c r="A9142" t="str">
        <f>"B7277-JN00B"</f>
        <v>B7277-JN00B</v>
      </c>
      <c r="B9142" t="str">
        <f>"Фильтр ветиляции сал"</f>
        <v>Фильтр ветиляции сал</v>
      </c>
      <c r="C9142">
        <v>152</v>
      </c>
      <c r="D9142">
        <v>1916.376</v>
      </c>
    </row>
    <row r="9143" spans="1:4">
      <c r="A9143" t="str">
        <f>"B727B-79925"</f>
        <v>B727B-79925</v>
      </c>
      <c r="B9143" t="str">
        <f>"FILTER KIT-AIR"</f>
        <v>FILTER KIT-AIR</v>
      </c>
      <c r="C9143">
        <v>10</v>
      </c>
      <c r="D9143">
        <v>591.19200000000001</v>
      </c>
    </row>
    <row r="9144" spans="1:4">
      <c r="A9144" t="str">
        <f>"B7460-89900"</f>
        <v>B7460-89900</v>
      </c>
      <c r="B9144" t="str">
        <f>"HOSE-WASHER"</f>
        <v>HOSE-WASHER</v>
      </c>
      <c r="C9144">
        <v>2</v>
      </c>
      <c r="D9144">
        <v>1238.6879999999999</v>
      </c>
    </row>
    <row r="9145" spans="1:4">
      <c r="A9145" t="str">
        <f>"B7461-89910"</f>
        <v>B7461-89910</v>
      </c>
      <c r="B9145" t="str">
        <f>"HOSH-WASHER"</f>
        <v>HOSH-WASHER</v>
      </c>
      <c r="C9145">
        <v>1</v>
      </c>
      <c r="D9145">
        <v>1084.4639999999999</v>
      </c>
    </row>
    <row r="9146" spans="1:4">
      <c r="A9146" t="str">
        <f>"B7891-1FE0A"</f>
        <v>B7891-1FE0A</v>
      </c>
      <c r="B9146" t="str">
        <f>"Фильтр салона"</f>
        <v>Фильтр салона</v>
      </c>
      <c r="C9146">
        <v>0</v>
      </c>
      <c r="D9146">
        <v>591.19200000000001</v>
      </c>
    </row>
    <row r="9147" spans="1:4">
      <c r="A9147" t="str">
        <f>"B8242-79900"</f>
        <v>B8242-79900</v>
      </c>
      <c r="B9147" t="str">
        <f>"SUB FEE ANT J30"</f>
        <v>SUB FEE ANT J30</v>
      </c>
      <c r="C9147">
        <v>4</v>
      </c>
      <c r="D9147">
        <v>804.16800000000001</v>
      </c>
    </row>
    <row r="9148" spans="1:4">
      <c r="A9148" t="str">
        <f>"B8556-5M33A"</f>
        <v>B8556-5M33A</v>
      </c>
      <c r="B9148" t="str">
        <f>"Датчик подушки безоп"</f>
        <v>Датчик подушки безоп</v>
      </c>
      <c r="C9148">
        <v>3</v>
      </c>
      <c r="D9148">
        <v>9688.3680000000004</v>
      </c>
    </row>
    <row r="9149" spans="1:4">
      <c r="A9149" t="str">
        <f>"B8673-9F900"</f>
        <v>B8673-9F900</v>
      </c>
      <c r="B9149" t="str">
        <f>"HOSE CUT2LENGTH"</f>
        <v>HOSE CUT2LENGTH</v>
      </c>
      <c r="C9149">
        <v>2</v>
      </c>
      <c r="D9149">
        <v>1503.8879999999999</v>
      </c>
    </row>
    <row r="9150" spans="1:4">
      <c r="A9150" t="str">
        <f>"B8860-1M200"</f>
        <v>B8860-1M200</v>
      </c>
      <c r="B9150" t="str">
        <f>"PIVOT-WIPER"</f>
        <v>PIVOT-WIPER</v>
      </c>
      <c r="C9150">
        <v>0</v>
      </c>
      <c r="D9150">
        <v>1099.56</v>
      </c>
    </row>
    <row r="9151" spans="1:4">
      <c r="A9151" t="str">
        <f>"B8890-U30XB"</f>
        <v>B8890-U30XB</v>
      </c>
      <c r="B9151" t="str">
        <f>"Щетка стеклоочистите"</f>
        <v>Щетка стеклоочистите</v>
      </c>
      <c r="C9151">
        <v>0</v>
      </c>
      <c r="D9151">
        <v>186.864</v>
      </c>
    </row>
    <row r="9152" spans="1:4">
      <c r="A9152" t="str">
        <f>"B8890-U35XB"</f>
        <v>B8890-U35XB</v>
      </c>
      <c r="B9152" t="str">
        <f>"Щетка стеклоочистите"</f>
        <v>Щетка стеклоочистите</v>
      </c>
      <c r="C9152">
        <v>3</v>
      </c>
      <c r="D9152">
        <v>222.76799999999997</v>
      </c>
    </row>
    <row r="9153" spans="1:4">
      <c r="A9153" t="str">
        <f>"B8890-U38XB"</f>
        <v>B8890-U38XB</v>
      </c>
      <c r="B9153" t="str">
        <f>"Щетка стеклоочистите"</f>
        <v>Щетка стеклоочистите</v>
      </c>
      <c r="C9153">
        <v>8</v>
      </c>
      <c r="D9153">
        <v>234.6</v>
      </c>
    </row>
    <row r="9154" spans="1:4">
      <c r="A9154" t="str">
        <f>"B8890-U43XB"</f>
        <v>B8890-U43XB</v>
      </c>
      <c r="B9154" t="str">
        <f>"BLADE ASSY-WS"</f>
        <v>BLADE ASSY-WS</v>
      </c>
      <c r="C9154">
        <v>29</v>
      </c>
      <c r="D9154">
        <v>279.48</v>
      </c>
    </row>
    <row r="9155" spans="1:4">
      <c r="A9155" t="str">
        <f>"B8890-U45XB"</f>
        <v>B8890-U45XB</v>
      </c>
      <c r="B9155" t="str">
        <f>"Щетка стеклоочистите"</f>
        <v>Щетка стеклоочистите</v>
      </c>
      <c r="C9155">
        <v>19</v>
      </c>
      <c r="D9155">
        <v>227.66399999999999</v>
      </c>
    </row>
    <row r="9156" spans="1:4">
      <c r="A9156" t="str">
        <f>"B8890-U65XB"</f>
        <v>B8890-U65XB</v>
      </c>
      <c r="B9156" t="str">
        <f>"BLADE ASSY-WS"</f>
        <v>BLADE ASSY-WS</v>
      </c>
      <c r="C9156">
        <v>14</v>
      </c>
      <c r="D9156">
        <v>433.70400000000001</v>
      </c>
    </row>
    <row r="9157" spans="1:4">
      <c r="A9157" t="str">
        <f>"B8913-JK00A"</f>
        <v>B8913-JK00A</v>
      </c>
      <c r="B9157" t="str">
        <f>"Крышка бачка омывате"</f>
        <v>Крышка бачка омывате</v>
      </c>
      <c r="C9157">
        <v>5</v>
      </c>
      <c r="D9157">
        <v>64.463999999999999</v>
      </c>
    </row>
    <row r="9158" spans="1:4">
      <c r="A9158" t="str">
        <f>"B8915-62J10"</f>
        <v>B8915-62J10</v>
      </c>
      <c r="B9158" t="str">
        <f>"INLET-WASH TANK"</f>
        <v>INLET-WASH TANK</v>
      </c>
      <c r="C9158">
        <v>1</v>
      </c>
      <c r="D9158">
        <v>408</v>
      </c>
    </row>
    <row r="9159" spans="1:4">
      <c r="A9159" t="str">
        <f>"B8930-2Y005"</f>
        <v>B8930-2Y005</v>
      </c>
      <c r="B9159" t="str">
        <f>"NOZZLE WASH RH"</f>
        <v>NOZZLE WASH RH</v>
      </c>
      <c r="C9159">
        <v>0</v>
      </c>
      <c r="D9159">
        <v>488.78399999999999</v>
      </c>
    </row>
    <row r="9160" spans="1:4">
      <c r="A9160" t="str">
        <f>"B8930-50Y10"</f>
        <v>B8930-50Y10</v>
      </c>
      <c r="B9160" t="str">
        <f>"NOZZLE WASHER"</f>
        <v>NOZZLE WASHER</v>
      </c>
      <c r="C9160">
        <v>14</v>
      </c>
      <c r="D9160">
        <v>456.96</v>
      </c>
    </row>
    <row r="9161" spans="1:4">
      <c r="A9161" t="str">
        <f>"B8970-0W000"</f>
        <v>B8970-0W000</v>
      </c>
      <c r="B9161" t="str">
        <f>"Форсунка омывате"</f>
        <v>Форсунка омывате</v>
      </c>
      <c r="C9161">
        <v>7</v>
      </c>
      <c r="D9161">
        <v>483.47999999999996</v>
      </c>
    </row>
    <row r="9162" spans="1:4">
      <c r="A9162" t="str">
        <f>"B8K15-31U00"</f>
        <v>B8K15-31U00</v>
      </c>
      <c r="B9162" t="str">
        <f>"Заливная горлови"</f>
        <v>Заливная горлови</v>
      </c>
      <c r="C9162">
        <v>3</v>
      </c>
      <c r="D9162">
        <v>609.14400000000001</v>
      </c>
    </row>
    <row r="9163" spans="1:4">
      <c r="A9163" t="str">
        <f>"B9760-7C001"</f>
        <v>B9760-7C001</v>
      </c>
      <c r="B9163" t="str">
        <f>"CABLE ASSY-CONT"</f>
        <v>CABLE ASSY-CONT</v>
      </c>
      <c r="C9163">
        <v>0</v>
      </c>
      <c r="D9163">
        <v>5489.2319999999991</v>
      </c>
    </row>
    <row r="9164" spans="1:4">
      <c r="A9164" t="str">
        <f>"C0001-2X925"</f>
        <v>C0001-2X925</v>
      </c>
      <c r="B9164" t="str">
        <f>"Сцепление к-т диск, "</f>
        <v xml:space="preserve">Сцепление к-т диск, </v>
      </c>
      <c r="C9164">
        <v>2</v>
      </c>
      <c r="D9164">
        <v>7703.0399999999991</v>
      </c>
    </row>
    <row r="9165" spans="1:4">
      <c r="A9165" t="str">
        <f>"C0001-2X926"</f>
        <v>C0001-2X926</v>
      </c>
      <c r="B9165" t="str">
        <f>"Сцепление к-т диск, "</f>
        <v xml:space="preserve">Сцепление к-т диск, </v>
      </c>
      <c r="C9165">
        <v>1</v>
      </c>
      <c r="D9165">
        <v>7703.0399999999991</v>
      </c>
    </row>
    <row r="9166" spans="1:4">
      <c r="A9166" t="str">
        <f>"C0001-2X927"</f>
        <v>C0001-2X927</v>
      </c>
      <c r="B9166" t="str">
        <f>"Сцепление к-т диск, "</f>
        <v xml:space="preserve">Сцепление к-т диск, </v>
      </c>
      <c r="C9166">
        <v>1</v>
      </c>
      <c r="D9166">
        <v>7703.0399999999991</v>
      </c>
    </row>
    <row r="9167" spans="1:4">
      <c r="A9167" t="str">
        <f>"C0001-2X928"</f>
        <v>C0001-2X928</v>
      </c>
      <c r="B9167" t="str">
        <f>"Сцепление к-т диск, "</f>
        <v xml:space="preserve">Сцепление к-т диск, </v>
      </c>
      <c r="C9167">
        <v>3</v>
      </c>
      <c r="D9167">
        <v>9662.6640000000007</v>
      </c>
    </row>
    <row r="9168" spans="1:4">
      <c r="A9168" t="str">
        <f>"C0100-22J13"</f>
        <v>C0100-22J13</v>
      </c>
      <c r="B9168" t="str">
        <f>"Диск сцепления"</f>
        <v>Диск сцепления</v>
      </c>
      <c r="C9168">
        <v>3</v>
      </c>
      <c r="D9168">
        <v>3849.48</v>
      </c>
    </row>
    <row r="9169" spans="1:4">
      <c r="A9169" t="str">
        <f>"C1335-31X25"</f>
        <v>C1335-31X25</v>
      </c>
      <c r="B9169" t="str">
        <f>"SEALANT-FLUID"</f>
        <v>SEALANT-FLUID</v>
      </c>
      <c r="C9169">
        <v>5</v>
      </c>
      <c r="D9169">
        <v>1007.7599999999999</v>
      </c>
    </row>
    <row r="9170" spans="1:4">
      <c r="A9170" t="str">
        <f>"C1397-51X90"</f>
        <v>C1397-51X90</v>
      </c>
      <c r="B9170" t="str">
        <f>"GASKET KIT-OIL"</f>
        <v>GASKET KIT-OIL</v>
      </c>
      <c r="C9170">
        <v>5</v>
      </c>
      <c r="D9170">
        <v>1168.1039999999998</v>
      </c>
    </row>
    <row r="9171" spans="1:4">
      <c r="A9171" t="str">
        <f>"C6010-BM620"</f>
        <v>C6010-BM620</v>
      </c>
      <c r="B9171" t="str">
        <f>"DEVICE ASSY-PAR"</f>
        <v>DEVICE ASSY-PAR</v>
      </c>
      <c r="C9171">
        <v>4</v>
      </c>
      <c r="D9171">
        <v>525.096</v>
      </c>
    </row>
    <row r="9172" spans="1:4">
      <c r="A9172" t="str">
        <f>"C7126-ZE00A"</f>
        <v>C7126-ZE00A</v>
      </c>
      <c r="B9172" t="str">
        <f>"Крестовина карданног"</f>
        <v>Крестовина карданног</v>
      </c>
      <c r="C9172">
        <v>7</v>
      </c>
      <c r="D9172">
        <v>3780.12</v>
      </c>
    </row>
    <row r="9173" spans="1:4">
      <c r="A9173" t="str">
        <f>"C8189-01G00"</f>
        <v>C8189-01G00</v>
      </c>
      <c r="B9173" t="str">
        <f>"Сальник редуктор"</f>
        <v>Сальник редуктор</v>
      </c>
      <c r="C9173">
        <v>2</v>
      </c>
      <c r="D9173">
        <v>316.60799999999995</v>
      </c>
    </row>
    <row r="9174" spans="1:4">
      <c r="A9174" t="str">
        <f>"C8189-C7000"</f>
        <v>C8189-C7000</v>
      </c>
      <c r="B9174" t="str">
        <f>"Сальник редуктор"</f>
        <v>Сальник редуктор</v>
      </c>
      <c r="C9174">
        <v>6</v>
      </c>
      <c r="D9174">
        <v>286.00799999999998</v>
      </c>
    </row>
    <row r="9175" spans="1:4">
      <c r="A9175" t="str">
        <f>"C8189-N3100"</f>
        <v>C8189-N3100</v>
      </c>
      <c r="B9175" t="str">
        <f>"Сальник редуктор"</f>
        <v>Сальник редуктор</v>
      </c>
      <c r="C9175">
        <v>8</v>
      </c>
      <c r="D9175">
        <v>154.22400000000002</v>
      </c>
    </row>
    <row r="9176" spans="1:4">
      <c r="A9176" t="str">
        <f>"C9211-AU31A"</f>
        <v>C9211-AU31A</v>
      </c>
      <c r="B9176" t="str">
        <f t="shared" ref="B9176:B9181" si="180">"ШРУС наружный"</f>
        <v>ШРУС наружный</v>
      </c>
      <c r="C9176">
        <v>9</v>
      </c>
      <c r="D9176">
        <v>8546.3759999999984</v>
      </c>
    </row>
    <row r="9177" spans="1:4">
      <c r="A9177" t="str">
        <f>"C9211-EB30A"</f>
        <v>C9211-EB30A</v>
      </c>
      <c r="B9177" t="str">
        <f t="shared" si="180"/>
        <v>ШРУС наружный</v>
      </c>
      <c r="C9177">
        <v>4</v>
      </c>
      <c r="D9177">
        <v>8310.1440000000002</v>
      </c>
    </row>
    <row r="9178" spans="1:4">
      <c r="A9178" t="str">
        <f>"C9211-EB31A"</f>
        <v>C9211-EB31A</v>
      </c>
      <c r="B9178" t="str">
        <f t="shared" si="180"/>
        <v>ШРУС наружный</v>
      </c>
      <c r="C9178">
        <v>23</v>
      </c>
      <c r="D9178">
        <v>7524.7439999999997</v>
      </c>
    </row>
    <row r="9179" spans="1:4">
      <c r="A9179" t="str">
        <f>"C9211-EB31B"</f>
        <v>C9211-EB31B</v>
      </c>
      <c r="B9179" t="str">
        <f t="shared" si="180"/>
        <v>ШРУС наружный</v>
      </c>
      <c r="C9179">
        <v>0</v>
      </c>
      <c r="D9179">
        <v>8573.3040000000001</v>
      </c>
    </row>
    <row r="9180" spans="1:4">
      <c r="A9180" t="str">
        <f>"C9211-EL10A"</f>
        <v>C9211-EL10A</v>
      </c>
      <c r="B9180" t="str">
        <f t="shared" si="180"/>
        <v>ШРУС наружный</v>
      </c>
      <c r="C9180">
        <v>2</v>
      </c>
      <c r="D9180">
        <v>5578.1759999999995</v>
      </c>
    </row>
    <row r="9181" spans="1:4">
      <c r="A9181" t="str">
        <f>"C9211-JA00A"</f>
        <v>C9211-JA00A</v>
      </c>
      <c r="B9181" t="str">
        <f t="shared" si="180"/>
        <v>ШРУС наружный</v>
      </c>
      <c r="C9181">
        <v>14</v>
      </c>
      <c r="D9181">
        <v>7133.4720000000007</v>
      </c>
    </row>
    <row r="9182" spans="1:4">
      <c r="A9182" t="str">
        <f>"C9241-BM700"</f>
        <v>C9241-BM700</v>
      </c>
      <c r="B9182" t="str">
        <f>"Пыльник наружнего ШР"</f>
        <v>Пыльник наружнего ШР</v>
      </c>
      <c r="C9182">
        <v>3</v>
      </c>
      <c r="D9182">
        <v>1089.3599999999999</v>
      </c>
    </row>
    <row r="9183" spans="1:4">
      <c r="A9183" t="str">
        <f>"C9241-EB30A"</f>
        <v>C9241-EB30A</v>
      </c>
      <c r="B9183" t="str">
        <f>"Пыльник наружного ШР"</f>
        <v>Пыльник наружного ШР</v>
      </c>
      <c r="C9183">
        <v>8</v>
      </c>
      <c r="D9183">
        <v>1676.0640000000001</v>
      </c>
    </row>
    <row r="9184" spans="1:4">
      <c r="A9184" t="str">
        <f>"C9241-EB31B"</f>
        <v>C9241-EB31B</v>
      </c>
      <c r="B9184" t="str">
        <f>"Пыльник наружнего ШР"</f>
        <v>Пыльник наружнего ШР</v>
      </c>
      <c r="C9184">
        <v>2</v>
      </c>
      <c r="D9184">
        <v>1017.552</v>
      </c>
    </row>
    <row r="9185" spans="1:4">
      <c r="A9185" t="str">
        <f>"C9241-EL10A"</f>
        <v>C9241-EL10A</v>
      </c>
      <c r="B9185" t="str">
        <f>"Пыльник наружного ШР"</f>
        <v>Пыльник наружного ШР</v>
      </c>
      <c r="C9185">
        <v>0</v>
      </c>
      <c r="D9185">
        <v>958.8</v>
      </c>
    </row>
    <row r="9186" spans="1:4">
      <c r="A9186" t="str">
        <f>"C9241-JA00A"</f>
        <v>C9241-JA00A</v>
      </c>
      <c r="B9186" t="str">
        <f>"Пыльник наружнего ШР"</f>
        <v>Пыльник наружнего ШР</v>
      </c>
      <c r="C9186">
        <v>3</v>
      </c>
      <c r="D9186">
        <v>1161.9839999999999</v>
      </c>
    </row>
    <row r="9187" spans="1:4">
      <c r="A9187" t="str">
        <f>"C924A-1AA0A"</f>
        <v>C924A-1AA0A</v>
      </c>
      <c r="B9187" t="str">
        <f>"Пыльник ШРУСа"</f>
        <v>Пыльник ШРУСа</v>
      </c>
      <c r="C9187">
        <v>2</v>
      </c>
      <c r="D9187">
        <v>1616.088</v>
      </c>
    </row>
    <row r="9188" spans="1:4">
      <c r="A9188" t="str">
        <f>"C92DA-JA00A"</f>
        <v>C92DA-JA00A</v>
      </c>
      <c r="B9188" t="str">
        <f t="shared" ref="B9188:B9194" si="181">"Пыльник внутреннего "</f>
        <v xml:space="preserve">Пыльник внутреннего </v>
      </c>
      <c r="C9188">
        <v>10</v>
      </c>
      <c r="D9188">
        <v>1125.6719999999998</v>
      </c>
    </row>
    <row r="9189" spans="1:4">
      <c r="A9189" t="str">
        <f>"C9741-CC20B"</f>
        <v>C9741-CC20B</v>
      </c>
      <c r="B9189" t="str">
        <f t="shared" si="181"/>
        <v xml:space="preserve">Пыльник внутреннего </v>
      </c>
      <c r="C9189">
        <v>0</v>
      </c>
      <c r="D9189">
        <v>1295.8079999999998</v>
      </c>
    </row>
    <row r="9190" spans="1:4">
      <c r="A9190" t="str">
        <f>"C9741-EL10A"</f>
        <v>C9741-EL10A</v>
      </c>
      <c r="B9190" t="str">
        <f t="shared" si="181"/>
        <v xml:space="preserve">Пыльник внутреннего </v>
      </c>
      <c r="C9190">
        <v>0</v>
      </c>
      <c r="D9190">
        <v>1213.8</v>
      </c>
    </row>
    <row r="9191" spans="1:4">
      <c r="A9191" t="str">
        <f>"C9741-JA00J"</f>
        <v>C9741-JA00J</v>
      </c>
      <c r="B9191" t="str">
        <f t="shared" si="181"/>
        <v xml:space="preserve">Пыльник внутреннего </v>
      </c>
      <c r="C9191">
        <v>0</v>
      </c>
      <c r="D9191">
        <v>1209.72</v>
      </c>
    </row>
    <row r="9192" spans="1:4">
      <c r="A9192" t="str">
        <f>"C9741-JD02B"</f>
        <v>C9741-JD02B</v>
      </c>
      <c r="B9192" t="str">
        <f t="shared" si="181"/>
        <v xml:space="preserve">Пыльник внутреннего </v>
      </c>
      <c r="C9192">
        <v>43</v>
      </c>
      <c r="D9192">
        <v>1537.752</v>
      </c>
    </row>
    <row r="9193" spans="1:4">
      <c r="A9193" t="str">
        <f>"C9741-JD0JB"</f>
        <v>C9741-JD0JB</v>
      </c>
      <c r="B9193" t="str">
        <f t="shared" si="181"/>
        <v xml:space="preserve">Пыльник внутреннего </v>
      </c>
      <c r="C9193">
        <v>5</v>
      </c>
      <c r="D9193">
        <v>1442.6879999999999</v>
      </c>
    </row>
    <row r="9194" spans="1:4">
      <c r="A9194" t="str">
        <f>"C974A-1JA0A"</f>
        <v>C974A-1JA0A</v>
      </c>
      <c r="B9194" t="str">
        <f t="shared" si="181"/>
        <v xml:space="preserve">Пыльник внутреннего </v>
      </c>
      <c r="C9194">
        <v>1</v>
      </c>
      <c r="D9194">
        <v>1489.2</v>
      </c>
    </row>
    <row r="9195" spans="1:4">
      <c r="A9195" t="str">
        <f>"C9B11-JA00A"</f>
        <v>C9B11-JA00A</v>
      </c>
      <c r="B9195" t="str">
        <f>"Шрус наружный"</f>
        <v>Шрус наружный</v>
      </c>
      <c r="C9195">
        <v>4</v>
      </c>
      <c r="D9195">
        <v>7136.7359999999999</v>
      </c>
    </row>
    <row r="9196" spans="1:4">
      <c r="A9196" t="str">
        <f>"C9B41-JA00A"</f>
        <v>C9B41-JA00A</v>
      </c>
      <c r="B9196" t="str">
        <f>"Пыльник наружного ШР"</f>
        <v>Пыльник наружного ШР</v>
      </c>
      <c r="C9196">
        <v>4</v>
      </c>
      <c r="D9196">
        <v>1286.8319999999999</v>
      </c>
    </row>
    <row r="9197" spans="1:4">
      <c r="A9197" t="str">
        <f>"C9BDA-JA0JA"</f>
        <v>C9BDA-JA0JA</v>
      </c>
      <c r="B9197" t="str">
        <f>"Пыльник внутреннего "</f>
        <v xml:space="preserve">Пыльник внутреннего </v>
      </c>
      <c r="C9197">
        <v>8</v>
      </c>
      <c r="D9197">
        <v>1587.9359999999999</v>
      </c>
    </row>
    <row r="9198" spans="1:4">
      <c r="A9198" t="str">
        <f>"C9GDA-JA00A"</f>
        <v>C9GDA-JA00A</v>
      </c>
      <c r="B9198" t="str">
        <f>"Пыльник внутреннего "</f>
        <v xml:space="preserve">Пыльник внутреннего </v>
      </c>
      <c r="C9198">
        <v>11</v>
      </c>
      <c r="D9198">
        <v>1452.0719999999999</v>
      </c>
    </row>
    <row r="9199" spans="1:4">
      <c r="A9199" t="str">
        <f>"D0135-ZC60A"</f>
        <v>D0135-ZC60A</v>
      </c>
      <c r="B9199" t="str">
        <f>"Направляющие суппорт"</f>
        <v>Направляющие суппорт</v>
      </c>
      <c r="C9199">
        <v>9</v>
      </c>
      <c r="D9199">
        <v>910.24799999999993</v>
      </c>
    </row>
    <row r="9200" spans="1:4">
      <c r="A9200" t="str">
        <f>"D0160-0W025"</f>
        <v>D0160-0W025</v>
      </c>
      <c r="B9200" t="str">
        <f>"Шаровая опора"</f>
        <v>Шаровая опора</v>
      </c>
      <c r="C9200">
        <v>9</v>
      </c>
      <c r="D9200">
        <v>1841.3040000000001</v>
      </c>
    </row>
    <row r="9201" spans="1:4">
      <c r="A9201" t="str">
        <f>"D0300-1AA2A"</f>
        <v>D0300-1AA2A</v>
      </c>
      <c r="B9201" t="str">
        <f>"Диск колеса"</f>
        <v>Диск колеса</v>
      </c>
      <c r="C9201">
        <v>1</v>
      </c>
      <c r="D9201">
        <v>25590.167999999998</v>
      </c>
    </row>
    <row r="9202" spans="1:4">
      <c r="A9202" t="str">
        <f>"D0300-1AA4A"</f>
        <v>D0300-1AA4A</v>
      </c>
      <c r="B9202" t="str">
        <f>"Диск колеса алюминие"</f>
        <v>Диск колеса алюминие</v>
      </c>
      <c r="C9202">
        <v>0</v>
      </c>
      <c r="D9202">
        <v>28576.319999999996</v>
      </c>
    </row>
    <row r="9203" spans="1:4">
      <c r="A9203" t="str">
        <f>"D0300-ED52A"</f>
        <v>D0300-ED52A</v>
      </c>
      <c r="B9203" t="str">
        <f>"Диск колеса 15X5.5JJ"</f>
        <v>Диск колеса 15X5.5JJ</v>
      </c>
      <c r="C9203">
        <v>4</v>
      </c>
      <c r="D9203">
        <v>13036.824000000001</v>
      </c>
    </row>
    <row r="9204" spans="1:4">
      <c r="A9204" t="str">
        <f>"D0C00-1BB4A"</f>
        <v>D0C00-1BB4A</v>
      </c>
      <c r="B9204" t="str">
        <f>"Диск колеса литой ал"</f>
        <v>Диск колеса литой ал</v>
      </c>
      <c r="C9204">
        <v>1</v>
      </c>
      <c r="D9204">
        <v>30165.887999999999</v>
      </c>
    </row>
    <row r="9205" spans="1:4">
      <c r="A9205" t="str">
        <f>"D0C00-1CA4A"</f>
        <v>D0C00-1CA4A</v>
      </c>
      <c r="B9205" t="str">
        <f>"Диск колеса лито"</f>
        <v>Диск колеса лито</v>
      </c>
      <c r="C9205">
        <v>2</v>
      </c>
      <c r="D9205">
        <v>42343.871999999996</v>
      </c>
    </row>
    <row r="9206" spans="1:4">
      <c r="A9206" t="str">
        <f>"D1001-WA200"</f>
        <v>D1001-WA200</v>
      </c>
      <c r="B9206" t="str">
        <f>"Суппорт тормозной пе"</f>
        <v>Суппорт тормозной пе</v>
      </c>
      <c r="C9206">
        <v>7</v>
      </c>
      <c r="D9206">
        <v>15252.671999999999</v>
      </c>
    </row>
    <row r="9207" spans="1:4">
      <c r="A9207" t="str">
        <f>"D1011-WA200"</f>
        <v>D1011-WA200</v>
      </c>
      <c r="B9207" t="str">
        <f>"Суппорт тормозной пе"</f>
        <v>Суппорт тормозной пе</v>
      </c>
      <c r="C9207">
        <v>9</v>
      </c>
      <c r="D9207">
        <v>15317.544</v>
      </c>
    </row>
    <row r="9208" spans="1:4">
      <c r="A9208" t="str">
        <f>"D1060-0W7X5"</f>
        <v>D1060-0W7X5</v>
      </c>
      <c r="B9208" t="str">
        <f>"PAD KIT-DISC FR"</f>
        <v>PAD KIT-DISC FR</v>
      </c>
      <c r="C9208">
        <v>17</v>
      </c>
      <c r="D9208">
        <v>1994.3040000000001</v>
      </c>
    </row>
    <row r="9209" spans="1:4">
      <c r="A9209" t="str">
        <f>"D1060-1LB2A"</f>
        <v>D1060-1LB2A</v>
      </c>
      <c r="B9209" t="str">
        <f>"Колодки тормозны"</f>
        <v>Колодки тормозны</v>
      </c>
      <c r="C9209">
        <v>3</v>
      </c>
      <c r="D9209">
        <v>3115.8959999999997</v>
      </c>
    </row>
    <row r="9210" spans="1:4">
      <c r="A9210" t="str">
        <f>"D1060-2X80A"</f>
        <v>D1060-2X80A</v>
      </c>
      <c r="B9210" t="str">
        <f>"Колодки к-т (4 шт.) "</f>
        <v xml:space="preserve">Колодки к-т (4 шт.) </v>
      </c>
      <c r="C9210">
        <v>7</v>
      </c>
      <c r="D9210">
        <v>2843.76</v>
      </c>
    </row>
    <row r="9211" spans="1:4">
      <c r="A9211" t="str">
        <f>"D1060-38UX0"</f>
        <v>D1060-38UX0</v>
      </c>
      <c r="B9211" t="str">
        <f>"PAD KIT-DISC FR"</f>
        <v>PAD KIT-DISC FR</v>
      </c>
      <c r="C9211">
        <v>1</v>
      </c>
      <c r="D9211">
        <v>1654.848</v>
      </c>
    </row>
    <row r="9212" spans="1:4">
      <c r="A9212" t="str">
        <f>"D1060-38UXM-01"</f>
        <v>D1060-38UXM-01</v>
      </c>
      <c r="B9212" t="str">
        <f>"Колодки к-т (4 шт.) "</f>
        <v xml:space="preserve">Колодки к-т (4 шт.) </v>
      </c>
      <c r="C9212">
        <v>6</v>
      </c>
      <c r="D9212">
        <v>1654.848</v>
      </c>
    </row>
    <row r="9213" spans="1:4">
      <c r="A9213" t="str">
        <f>"D1060-3Y690"</f>
        <v>D1060-3Y690</v>
      </c>
      <c r="B9213" t="str">
        <f>"PAD KIT-DISC"</f>
        <v>PAD KIT-DISC</v>
      </c>
      <c r="C9213">
        <v>7</v>
      </c>
      <c r="D9213">
        <v>2181.1680000000001</v>
      </c>
    </row>
    <row r="9214" spans="1:4">
      <c r="A9214" t="str">
        <f>"D1060-5X00A"</f>
        <v>D1060-5X00A</v>
      </c>
      <c r="B9214" t="str">
        <f>"Колодки к-т (4 шт.) "</f>
        <v xml:space="preserve">Колодки к-т (4 шт.) </v>
      </c>
      <c r="C9214">
        <v>1</v>
      </c>
      <c r="D9214">
        <v>2507.5679999999998</v>
      </c>
    </row>
    <row r="9215" spans="1:4">
      <c r="A9215" t="str">
        <f>"D1060-6N0X1"</f>
        <v>D1060-6N0X1</v>
      </c>
      <c r="B9215" t="str">
        <f>"Колодки к-т (4 шт.) "</f>
        <v xml:space="preserve">Колодки к-т (4 шт.) </v>
      </c>
      <c r="C9215">
        <v>2</v>
      </c>
      <c r="D9215">
        <v>1637.712</v>
      </c>
    </row>
    <row r="9216" spans="1:4">
      <c r="A9216" t="str">
        <f>"D1060-6N0X2"</f>
        <v>D1060-6N0X2</v>
      </c>
      <c r="B9216" t="str">
        <f>"Колодки тормозные к-"</f>
        <v>Колодки тормозные к-</v>
      </c>
      <c r="C9216">
        <v>8</v>
      </c>
      <c r="D9216">
        <v>1637.712</v>
      </c>
    </row>
    <row r="9217" spans="1:4">
      <c r="A9217" t="str">
        <f>"D1060-9FE0A"</f>
        <v>D1060-9FE0A</v>
      </c>
      <c r="B9217" t="str">
        <f>"Колодки к-т (4 шт.) "</f>
        <v xml:space="preserve">Колодки к-т (4 шт.) </v>
      </c>
      <c r="C9217">
        <v>19</v>
      </c>
      <c r="D9217">
        <v>4302.768</v>
      </c>
    </row>
    <row r="9218" spans="1:4">
      <c r="A9218" t="str">
        <f>"D1060-AA190"</f>
        <v>D1060-AA190</v>
      </c>
      <c r="B9218" t="str">
        <f>"Колодки к-т (4 шт.) "</f>
        <v xml:space="preserve">Колодки к-т (4 шт.) </v>
      </c>
      <c r="C9218">
        <v>2</v>
      </c>
      <c r="D9218">
        <v>2662.2</v>
      </c>
    </row>
    <row r="9219" spans="1:4">
      <c r="A9219" t="str">
        <f>"D1060-BH40A"</f>
        <v>D1060-BH40A</v>
      </c>
      <c r="B9219" t="str">
        <f>"PAD KIT-DISC BR"</f>
        <v>PAD KIT-DISC BR</v>
      </c>
      <c r="C9219">
        <v>0</v>
      </c>
      <c r="D9219">
        <v>1744.2</v>
      </c>
    </row>
    <row r="9220" spans="1:4">
      <c r="A9220" t="str">
        <f>"D1060-BM40A"</f>
        <v>D1060-BM40A</v>
      </c>
      <c r="B9220" t="str">
        <f>"Колодки к-т (4 шт.) "</f>
        <v xml:space="preserve">Колодки к-т (4 шт.) </v>
      </c>
      <c r="C9220">
        <v>40</v>
      </c>
      <c r="D9220">
        <v>1759.704</v>
      </c>
    </row>
    <row r="9221" spans="1:4">
      <c r="A9221" t="str">
        <f>"D1060-BM50A"</f>
        <v>D1060-BM50A</v>
      </c>
      <c r="B9221" t="str">
        <f>"Колодки к-т (4 шт.) "</f>
        <v xml:space="preserve">Колодки к-т (4 шт.) </v>
      </c>
      <c r="C9221">
        <v>41</v>
      </c>
      <c r="D9221">
        <v>1957.5839999999998</v>
      </c>
    </row>
    <row r="9222" spans="1:4">
      <c r="A9222" t="str">
        <f>"D1060-CD00C"</f>
        <v>D1060-CD00C</v>
      </c>
      <c r="B9222" t="str">
        <f>"Колодки к-т (4 шт.) "</f>
        <v xml:space="preserve">Колодки к-т (4 шт.) </v>
      </c>
      <c r="C9222">
        <v>3</v>
      </c>
      <c r="D9222">
        <v>7632.4560000000001</v>
      </c>
    </row>
    <row r="9223" spans="1:4">
      <c r="A9223" t="str">
        <f>"D1060-CN91B"</f>
        <v>D1060-CN91B</v>
      </c>
      <c r="B9223" t="str">
        <f>"Колодки тормозные к-"</f>
        <v>Колодки тормозные к-</v>
      </c>
      <c r="C9223">
        <v>4</v>
      </c>
      <c r="D9223">
        <v>2507.5679999999998</v>
      </c>
    </row>
    <row r="9224" spans="1:4">
      <c r="A9224" t="str">
        <f>"D1060-EM30C"</f>
        <v>D1060-EM30C</v>
      </c>
      <c r="B9224" t="str">
        <f>"Колодки тормозные к-"</f>
        <v>Колодки тормозные к-</v>
      </c>
      <c r="C9224">
        <v>0</v>
      </c>
      <c r="D9224">
        <v>2572.0320000000002</v>
      </c>
    </row>
    <row r="9225" spans="1:4">
      <c r="A9225" t="str">
        <f>"D1060-JD00A"</f>
        <v>D1060-JD00A</v>
      </c>
      <c r="B9225" t="str">
        <f>"Колодки тормозные к-"</f>
        <v>Колодки тормозные к-</v>
      </c>
      <c r="C9225">
        <v>35</v>
      </c>
      <c r="D9225">
        <v>2181.1680000000001</v>
      </c>
    </row>
    <row r="9226" spans="1:4">
      <c r="A9226" t="str">
        <f>"D1060-JD00J"</f>
        <v>D1060-JD00J</v>
      </c>
      <c r="B9226" t="str">
        <f>"Колодки тормозные пе"</f>
        <v>Колодки тормозные пе</v>
      </c>
      <c r="C9226">
        <v>3</v>
      </c>
      <c r="D9226">
        <v>2507.5679999999998</v>
      </c>
    </row>
    <row r="9227" spans="1:4">
      <c r="A9227" t="str">
        <f>"D1060-JK00B"</f>
        <v>D1060-JK00B</v>
      </c>
      <c r="B9227" t="str">
        <f>"Колодки тормозные к-"</f>
        <v>Колодки тормозные к-</v>
      </c>
      <c r="C9227">
        <v>0</v>
      </c>
      <c r="D9227">
        <v>2687.0879999999997</v>
      </c>
    </row>
    <row r="9228" spans="1:4">
      <c r="A9228" t="str">
        <f>"D1060-JL00J"</f>
        <v>D1060-JL00J</v>
      </c>
      <c r="B9228" t="str">
        <f>"Колодки к-т (4 шт.) "</f>
        <v xml:space="preserve">Колодки к-т (4 шт.) </v>
      </c>
      <c r="C9228">
        <v>0</v>
      </c>
      <c r="D9228">
        <v>2897.2080000000001</v>
      </c>
    </row>
    <row r="9229" spans="1:4">
      <c r="A9229" t="str">
        <f>"D1060-JL00K"</f>
        <v>D1060-JL00K</v>
      </c>
      <c r="B9229" t="str">
        <f>"Колодки тормозные к-"</f>
        <v>Колодки тормозные к-</v>
      </c>
      <c r="C9229">
        <v>14</v>
      </c>
      <c r="D9229">
        <v>2725.4399999999996</v>
      </c>
    </row>
    <row r="9230" spans="1:4">
      <c r="A9230" t="str">
        <f>"D1060-MB20C"</f>
        <v>D1060-MB20C</v>
      </c>
      <c r="B9230" t="str">
        <f>"Колодки к-т (4 шт.) "</f>
        <v xml:space="preserve">Колодки к-т (4 шт.) </v>
      </c>
      <c r="C9230">
        <v>0</v>
      </c>
      <c r="D9230">
        <v>3683.8319999999999</v>
      </c>
    </row>
    <row r="9231" spans="1:4">
      <c r="A9231" t="str">
        <f>"D1060-VB2XM-01"</f>
        <v>D1060-VB2XM-01</v>
      </c>
      <c r="B9231" t="str">
        <f>"Колодки тормозные к-"</f>
        <v>Колодки тормозные к-</v>
      </c>
      <c r="C9231">
        <v>5</v>
      </c>
      <c r="D9231">
        <v>2186.88</v>
      </c>
    </row>
    <row r="9232" spans="1:4">
      <c r="A9232" t="str">
        <f>"D1060-VK190"</f>
        <v>D1060-VK190</v>
      </c>
      <c r="B9232" t="str">
        <f>"Колодки к-т (4 шт.) "</f>
        <v xml:space="preserve">Колодки к-т (4 шт.) </v>
      </c>
      <c r="C9232">
        <v>4</v>
      </c>
      <c r="D9232">
        <v>2507.5679999999998</v>
      </c>
    </row>
    <row r="9233" spans="1:4">
      <c r="A9233" t="str">
        <f>"D1060-ZC0X7"</f>
        <v>D1060-ZC0X7</v>
      </c>
      <c r="B9233" t="str">
        <f>"Колодки торм к-т (4 "</f>
        <v xml:space="preserve">Колодки торм к-т (4 </v>
      </c>
      <c r="C9233">
        <v>7</v>
      </c>
      <c r="D9233">
        <v>3710.3519999999999</v>
      </c>
    </row>
    <row r="9234" spans="1:4">
      <c r="A9234" t="str">
        <f>"D106M-72J25"</f>
        <v>D106M-72J25</v>
      </c>
      <c r="B9234" t="str">
        <f>"PAD KIT-DISC BR"</f>
        <v>PAD KIT-DISC BR</v>
      </c>
      <c r="C9234">
        <v>1</v>
      </c>
      <c r="D9234">
        <v>1591.2</v>
      </c>
    </row>
    <row r="9235" spans="1:4">
      <c r="A9235" t="str">
        <f>"D106M-S36X5"</f>
        <v>D106M-S36X5</v>
      </c>
      <c r="B9235" t="str">
        <f>"PAD KIT FR BRAK"</f>
        <v>PAD KIT FR BRAK</v>
      </c>
      <c r="C9235">
        <v>0</v>
      </c>
      <c r="D9235">
        <v>1691.568</v>
      </c>
    </row>
    <row r="9236" spans="1:4">
      <c r="A9236" t="str">
        <f>"D1080-1LB0A"</f>
        <v>D1080-1LB0A</v>
      </c>
      <c r="B9236" t="str">
        <f>"Пластины колодок к-т"</f>
        <v>Пластины колодок к-т</v>
      </c>
      <c r="C9236">
        <v>5</v>
      </c>
      <c r="D9236">
        <v>1923.3119999999999</v>
      </c>
    </row>
    <row r="9237" spans="1:4">
      <c r="A9237" t="str">
        <f>"D1080-CA00C"</f>
        <v>D1080-CA00C</v>
      </c>
      <c r="B9237" t="str">
        <f>"Пластины тормозных к"</f>
        <v>Пластины тормозных к</v>
      </c>
      <c r="C9237">
        <v>2</v>
      </c>
      <c r="D9237">
        <v>2120.7839999999997</v>
      </c>
    </row>
    <row r="9238" spans="1:4">
      <c r="A9238" t="str">
        <f>"D1080-JA00A"</f>
        <v>D1080-JA00A</v>
      </c>
      <c r="B9238" t="str">
        <f>"Пластины тормозных к"</f>
        <v>Пластины тормозных к</v>
      </c>
      <c r="C9238">
        <v>5</v>
      </c>
      <c r="D9238">
        <v>1554.48</v>
      </c>
    </row>
    <row r="9239" spans="1:4">
      <c r="A9239" t="str">
        <f>"D1080-JE00A"</f>
        <v>D1080-JE00A</v>
      </c>
      <c r="B9239" t="str">
        <f>"Пластины тормозных к"</f>
        <v>Пластины тормозных к</v>
      </c>
      <c r="C9239">
        <v>0</v>
      </c>
      <c r="D9239">
        <v>1981.6559999999999</v>
      </c>
    </row>
    <row r="9240" spans="1:4">
      <c r="A9240" t="str">
        <f>"D1080-JK000"</f>
        <v>D1080-JK000</v>
      </c>
      <c r="B9240" t="str">
        <f>"Пластины колодок"</f>
        <v>Пластины колодок</v>
      </c>
      <c r="C9240">
        <v>1</v>
      </c>
      <c r="D9240">
        <v>2406.7919999999999</v>
      </c>
    </row>
    <row r="9241" spans="1:4">
      <c r="A9241" t="str">
        <f>"D1080-JK00B"</f>
        <v>D1080-JK00B</v>
      </c>
      <c r="B9241" t="str">
        <f>"HARDWARE KIT-FR"</f>
        <v>HARDWARE KIT-FR</v>
      </c>
      <c r="C9241">
        <v>0</v>
      </c>
      <c r="D9241">
        <v>2406.7919999999999</v>
      </c>
    </row>
    <row r="9242" spans="1:4">
      <c r="A9242" t="str">
        <f>"D1080-JL00A"</f>
        <v>D1080-JL00A</v>
      </c>
      <c r="B9242" t="str">
        <f>"Пластины колодок к-т"</f>
        <v>Пластины колодок к-т</v>
      </c>
      <c r="C9242">
        <v>5</v>
      </c>
      <c r="D9242">
        <v>2221.9679999999998</v>
      </c>
    </row>
    <row r="9243" spans="1:4">
      <c r="A9243" t="str">
        <f>"D1080-ZQ00A"</f>
        <v>D1080-ZQ00A</v>
      </c>
      <c r="B9243" t="str">
        <f>"Пластины тормозных к"</f>
        <v>Пластины тормозных к</v>
      </c>
      <c r="C9243">
        <v>0</v>
      </c>
      <c r="D9243">
        <v>2205.2399999999998</v>
      </c>
    </row>
    <row r="9244" spans="1:4">
      <c r="A9244" t="str">
        <f>"D10F0-CD00C"</f>
        <v>D10F0-CD00C</v>
      </c>
      <c r="B9244" t="str">
        <f>"Колодки к-т (4 шт.) "</f>
        <v xml:space="preserve">Колодки к-т (4 шт.) </v>
      </c>
      <c r="C9244">
        <v>2</v>
      </c>
      <c r="D9244">
        <v>7632.4560000000001</v>
      </c>
    </row>
    <row r="9245" spans="1:4">
      <c r="A9245" t="str">
        <f>"D1120-JE00A"</f>
        <v>D1120-JE00A</v>
      </c>
      <c r="B9245" t="str">
        <f>"К-т сальников (12шт)"</f>
        <v>К-т сальников (12шт)</v>
      </c>
      <c r="C9245">
        <v>13</v>
      </c>
      <c r="D9245">
        <v>1490.424</v>
      </c>
    </row>
    <row r="9246" spans="1:4">
      <c r="A9246" t="str">
        <f>"D1120-JL00A"</f>
        <v>D1120-JL00A</v>
      </c>
      <c r="B9246" t="str">
        <f>"Сальники тормозного "</f>
        <v xml:space="preserve">Сальники тормозного </v>
      </c>
      <c r="C9246">
        <v>0</v>
      </c>
      <c r="D9246">
        <v>1563.864</v>
      </c>
    </row>
    <row r="9247" spans="1:4">
      <c r="A9247" t="str">
        <f>"D1120-ZC60A"</f>
        <v>D1120-ZC60A</v>
      </c>
      <c r="B9247" t="str">
        <f>"Сальники к-т"</f>
        <v>Сальники к-т</v>
      </c>
      <c r="C9247">
        <v>20</v>
      </c>
      <c r="D9247">
        <v>944.928</v>
      </c>
    </row>
    <row r="9248" spans="1:4">
      <c r="A9248" t="str">
        <f>"D1139-71J0A"</f>
        <v>D1139-71J0A</v>
      </c>
      <c r="B9248" t="str">
        <f>"Направляющий палец т"</f>
        <v>Направляющий палец т</v>
      </c>
      <c r="C9248">
        <v>35</v>
      </c>
      <c r="D9248">
        <v>800.08799999999997</v>
      </c>
    </row>
    <row r="9249" spans="1:4">
      <c r="A9249" t="str">
        <f>"D1139-AX60A"</f>
        <v>D1139-AX60A</v>
      </c>
      <c r="B9249" t="str">
        <f>"Направляющий палец т"</f>
        <v>Направляющий палец т</v>
      </c>
      <c r="C9249">
        <v>0</v>
      </c>
      <c r="D9249">
        <v>703.39199999999994</v>
      </c>
    </row>
    <row r="9250" spans="1:4">
      <c r="A9250" t="str">
        <f>"D4001-5Y50A"</f>
        <v>D4001-5Y50A</v>
      </c>
      <c r="B9250" t="str">
        <f>"Суппорт тормозно"</f>
        <v>Суппорт тормозно</v>
      </c>
      <c r="C9250">
        <v>0</v>
      </c>
      <c r="D9250">
        <v>13263.671999999999</v>
      </c>
    </row>
    <row r="9251" spans="1:4">
      <c r="A9251" t="str">
        <f>"D4011-5Y50A"</f>
        <v>D4011-5Y50A</v>
      </c>
      <c r="B9251" t="str">
        <f>"Суппорт тормозно"</f>
        <v>Суппорт тормозно</v>
      </c>
      <c r="C9251">
        <v>5</v>
      </c>
      <c r="D9251">
        <v>13434.216</v>
      </c>
    </row>
    <row r="9252" spans="1:4">
      <c r="A9252" t="str">
        <f>"D4060-0P6X2"</f>
        <v>D4060-0P6X2</v>
      </c>
      <c r="B9252" t="str">
        <f>"PAD KIT-DISC RR"</f>
        <v>PAD KIT-DISC RR</v>
      </c>
      <c r="C9252">
        <v>5</v>
      </c>
      <c r="D9252">
        <v>1157.4960000000001</v>
      </c>
    </row>
    <row r="9253" spans="1:4">
      <c r="A9253" t="str">
        <f>"D4060-0W71A"</f>
        <v>D4060-0W71A</v>
      </c>
      <c r="B9253" t="str">
        <f>"Колодки тормозные ба"</f>
        <v>Колодки тормозные ба</v>
      </c>
      <c r="C9253">
        <v>5</v>
      </c>
      <c r="D9253">
        <v>2988.1919999999996</v>
      </c>
    </row>
    <row r="9254" spans="1:4">
      <c r="A9254" t="str">
        <f>"D4060-1LB8E"</f>
        <v>D4060-1LB8E</v>
      </c>
      <c r="B9254" t="str">
        <f>"Колодки тормозные ди"</f>
        <v>Колодки тормозные ди</v>
      </c>
      <c r="C9254">
        <v>3</v>
      </c>
      <c r="D9254">
        <v>2181.1680000000001</v>
      </c>
    </row>
    <row r="9255" spans="1:4">
      <c r="A9255" t="str">
        <f>"D4060-1MB0A"</f>
        <v>D4060-1MB0A</v>
      </c>
      <c r="B9255" t="str">
        <f>"Колодки тормозные ди"</f>
        <v>Колодки тормозные ди</v>
      </c>
      <c r="C9255">
        <v>21</v>
      </c>
      <c r="D9255">
        <v>1757.2560000000001</v>
      </c>
    </row>
    <row r="9256" spans="1:4">
      <c r="A9256" t="str">
        <f>"D4060-85LX6"</f>
        <v>D4060-85LX6</v>
      </c>
      <c r="B9256" t="str">
        <f>"Колодки тормозные ди"</f>
        <v>Колодки тормозные ди</v>
      </c>
      <c r="C9256">
        <v>8</v>
      </c>
      <c r="D9256">
        <v>1441.056</v>
      </c>
    </row>
    <row r="9257" spans="1:4">
      <c r="A9257" t="str">
        <f>"D4060-8H725"</f>
        <v>D4060-8H725</v>
      </c>
      <c r="B9257" t="str">
        <f>"SHOE SET-PKB"</f>
        <v>SHOE SET-PKB</v>
      </c>
      <c r="C9257">
        <v>7</v>
      </c>
      <c r="D9257">
        <v>2597.7360000000003</v>
      </c>
    </row>
    <row r="9258" spans="1:4">
      <c r="A9258" t="str">
        <f>"D4060-8M126"</f>
        <v>D4060-8M126</v>
      </c>
      <c r="B9258" t="str">
        <f>"SHOE SET REAR"</f>
        <v>SHOE SET REAR</v>
      </c>
      <c r="C9258">
        <v>13</v>
      </c>
      <c r="D9258">
        <v>2208.5039999999999</v>
      </c>
    </row>
    <row r="9259" spans="1:4">
      <c r="A9259" t="str">
        <f>"D4060-9FE0A"</f>
        <v>D4060-9FE0A</v>
      </c>
      <c r="B9259" t="str">
        <f>"PAD KIT-DISC BR"</f>
        <v>PAD KIT-DISC BR</v>
      </c>
      <c r="C9259">
        <v>10</v>
      </c>
      <c r="D9259">
        <v>4220.76</v>
      </c>
    </row>
    <row r="9260" spans="1:4">
      <c r="A9260" t="str">
        <f>"D4060-AX600"</f>
        <v>D4060-AX600</v>
      </c>
      <c r="B9260" t="str">
        <f>"Колодки тормозные ба"</f>
        <v>Колодки тормозные ба</v>
      </c>
      <c r="C9260">
        <v>10</v>
      </c>
      <c r="D9260">
        <v>2338.248</v>
      </c>
    </row>
    <row r="9261" spans="1:4">
      <c r="A9261" t="str">
        <f>"D4060-BM40A"</f>
        <v>D4060-BM40A</v>
      </c>
      <c r="B9261" t="str">
        <f>"Колодки тормозные ди"</f>
        <v>Колодки тормозные ди</v>
      </c>
      <c r="C9261">
        <v>0</v>
      </c>
      <c r="D9261">
        <v>1834.3680000000002</v>
      </c>
    </row>
    <row r="9262" spans="1:4">
      <c r="A9262" t="str">
        <f>"D4060-CA01A"</f>
        <v>D4060-CA01A</v>
      </c>
      <c r="B9262" t="str">
        <f>"Колодки тормозные ба"</f>
        <v>Колодки тормозные ба</v>
      </c>
      <c r="C9262">
        <v>9</v>
      </c>
      <c r="D9262">
        <v>3128.9519999999998</v>
      </c>
    </row>
    <row r="9263" spans="1:4">
      <c r="A9263" t="str">
        <f>"D4060-EB36A"</f>
        <v>D4060-EB36A</v>
      </c>
      <c r="B9263" t="str">
        <f>"Колодки ручн. торм. "</f>
        <v xml:space="preserve">Колодки ручн. торм. </v>
      </c>
      <c r="C9263">
        <v>0</v>
      </c>
      <c r="D9263">
        <v>5196.2879999999996</v>
      </c>
    </row>
    <row r="9264" spans="1:4">
      <c r="A9264" t="str">
        <f>"D4060-JL00J"</f>
        <v>D4060-JL00J</v>
      </c>
      <c r="B9264" t="str">
        <f>"Колодки тормозные ди"</f>
        <v>Колодки тормозные ди</v>
      </c>
      <c r="C9264">
        <v>19</v>
      </c>
      <c r="D9264">
        <v>1771.5359999999998</v>
      </c>
    </row>
    <row r="9265" spans="1:4">
      <c r="A9265" t="str">
        <f>"D4060-JN00A"</f>
        <v>D4060-JN00A</v>
      </c>
      <c r="B9265" t="str">
        <f>"Колодки ручн. торм. "</f>
        <v xml:space="preserve">Колодки ручн. торм. </v>
      </c>
      <c r="C9265">
        <v>10</v>
      </c>
      <c r="D9265">
        <v>3166.8959999999997</v>
      </c>
    </row>
    <row r="9266" spans="1:4">
      <c r="A9266" t="str">
        <f>"D4060-MB40A"</f>
        <v>D4060-MB40A</v>
      </c>
      <c r="B9266" t="str">
        <f>"Колодки тормозны"</f>
        <v>Колодки тормозны</v>
      </c>
      <c r="C9266">
        <v>0</v>
      </c>
      <c r="D9266">
        <v>2751.96</v>
      </c>
    </row>
    <row r="9267" spans="1:4">
      <c r="A9267" t="str">
        <f>"D4060-VB1X0"</f>
        <v>D4060-VB1X0</v>
      </c>
      <c r="B9267" t="str">
        <f>"PAD KIT-DISC RR"</f>
        <v>PAD KIT-DISC RR</v>
      </c>
      <c r="C9267">
        <v>53</v>
      </c>
      <c r="D9267">
        <v>1714.4159999999999</v>
      </c>
    </row>
    <row r="9268" spans="1:4">
      <c r="A9268" t="str">
        <f>"D4060-WL06A"</f>
        <v>D4060-WL06A</v>
      </c>
      <c r="B9268" t="str">
        <f>"Колодки ручн. торм. "</f>
        <v xml:space="preserve">Колодки ручн. торм. </v>
      </c>
      <c r="C9268">
        <v>17</v>
      </c>
      <c r="D9268">
        <v>2153.424</v>
      </c>
    </row>
    <row r="9269" spans="1:4">
      <c r="A9269" t="str">
        <f>"D4080-1LB0A"</f>
        <v>D4080-1LB0A</v>
      </c>
      <c r="B9269" t="str">
        <f>"Пластины колодок к-т"</f>
        <v>Пластины колодок к-т</v>
      </c>
      <c r="C9269">
        <v>2</v>
      </c>
      <c r="D9269">
        <v>1802.952</v>
      </c>
    </row>
    <row r="9270" spans="1:4">
      <c r="A9270" t="str">
        <f>"D4080-9N00B"</f>
        <v>D4080-9N00B</v>
      </c>
      <c r="B9270" t="str">
        <f>"Пластины тормозных к"</f>
        <v>Пластины тормозных к</v>
      </c>
      <c r="C9270">
        <v>2</v>
      </c>
      <c r="D9270">
        <v>2038.3679999999999</v>
      </c>
    </row>
    <row r="9271" spans="1:4">
      <c r="A9271" t="str">
        <f>"D4080-EG50C"</f>
        <v>D4080-EG50C</v>
      </c>
      <c r="B9271" t="str">
        <f>"Пластины тормозных к"</f>
        <v>Пластины тормозных к</v>
      </c>
      <c r="C9271">
        <v>8</v>
      </c>
      <c r="D9271">
        <v>2137.9199999999996</v>
      </c>
    </row>
    <row r="9272" spans="1:4">
      <c r="A9272" t="str">
        <f>"D4080-JA01A"</f>
        <v>D4080-JA01A</v>
      </c>
      <c r="B9272" t="str">
        <f>"Пластины тормозных к"</f>
        <v>Пластины тормозных к</v>
      </c>
      <c r="C9272">
        <v>4</v>
      </c>
      <c r="D9272">
        <v>2086.9199999999996</v>
      </c>
    </row>
    <row r="9273" spans="1:4">
      <c r="A9273" t="str">
        <f>"D4080-JA01B"</f>
        <v>D4080-JA01B</v>
      </c>
      <c r="B9273" t="str">
        <f>"Пластины тормозных к"</f>
        <v>Пластины тормозных к</v>
      </c>
      <c r="C9273">
        <v>10</v>
      </c>
      <c r="D9273">
        <v>2086.9199999999996</v>
      </c>
    </row>
    <row r="9274" spans="1:4">
      <c r="A9274" t="str">
        <f>"D4080-JL00A"</f>
        <v>D4080-JL00A</v>
      </c>
      <c r="B9274" t="str">
        <f>"Пластины тормозных к"</f>
        <v>Пластины тормозных к</v>
      </c>
      <c r="C9274">
        <v>12</v>
      </c>
      <c r="D9274">
        <v>2079.9839999999999</v>
      </c>
    </row>
    <row r="9275" spans="1:4">
      <c r="A9275" t="str">
        <f>"D40F0-CD01B"</f>
        <v>D40F0-CD01B</v>
      </c>
      <c r="B9275" t="str">
        <f>"Колодки тормозные ди"</f>
        <v>Колодки тормозные ди</v>
      </c>
      <c r="C9275">
        <v>4</v>
      </c>
      <c r="D9275">
        <v>3271.3439999999996</v>
      </c>
    </row>
    <row r="9276" spans="1:4">
      <c r="A9276" t="str">
        <f>"D4100-95F0A"</f>
        <v>D4100-95F0A</v>
      </c>
      <c r="B9276" t="str">
        <f>"К-т пыльников"</f>
        <v>К-т пыльников</v>
      </c>
      <c r="C9276">
        <v>5</v>
      </c>
      <c r="D9276">
        <v>484.29599999999994</v>
      </c>
    </row>
    <row r="9277" spans="1:4">
      <c r="A9277" t="str">
        <f>"D4120-AR000"</f>
        <v>D4120-AR000</v>
      </c>
      <c r="B9277" t="str">
        <f>"Сальники к-т (12"</f>
        <v>Сальники к-т (12</v>
      </c>
      <c r="C9277">
        <v>0</v>
      </c>
      <c r="D9277">
        <v>1482.6719999999998</v>
      </c>
    </row>
    <row r="9278" spans="1:4">
      <c r="A9278" t="str">
        <f>"D4120-EG50C"</f>
        <v>D4120-EG50C</v>
      </c>
      <c r="B9278" t="str">
        <f>"Сальники к-т (14"</f>
        <v>Сальники к-т (14</v>
      </c>
      <c r="C9278">
        <v>7</v>
      </c>
      <c r="D9278">
        <v>1504.704</v>
      </c>
    </row>
    <row r="9279" spans="1:4">
      <c r="A9279" t="str">
        <f>"D4120-JL00A"</f>
        <v>D4120-JL00A</v>
      </c>
      <c r="B9279" t="str">
        <f>"Сальник к-т"</f>
        <v>Сальник к-т</v>
      </c>
      <c r="C9279">
        <v>1</v>
      </c>
      <c r="D9279">
        <v>1497.36</v>
      </c>
    </row>
    <row r="9280" spans="1:4">
      <c r="A9280" t="str">
        <f>"D4M60-1BN0A"</f>
        <v>D4M60-1BN0A</v>
      </c>
      <c r="B9280" t="str">
        <f>"Колодки тормозные ди"</f>
        <v>Колодки тормозные ди</v>
      </c>
      <c r="C9280">
        <v>10</v>
      </c>
      <c r="D9280">
        <v>1707.0719999999999</v>
      </c>
    </row>
    <row r="9281" spans="1:4">
      <c r="A9281" t="str">
        <f>"D4M60-9N00A"</f>
        <v>D4M60-9N00A</v>
      </c>
      <c r="B9281" t="str">
        <f>"Колодки тормозные ди"</f>
        <v>Колодки тормозные ди</v>
      </c>
      <c r="C9281">
        <v>29</v>
      </c>
      <c r="D9281">
        <v>1904.5439999999999</v>
      </c>
    </row>
    <row r="9282" spans="1:4">
      <c r="A9282" t="str">
        <f>"D4M60-EG50C"</f>
        <v>D4M60-EG50C</v>
      </c>
      <c r="B9282" t="str">
        <f>"Колодки тормозные ди"</f>
        <v>Колодки тормозные ди</v>
      </c>
      <c r="C9282">
        <v>37</v>
      </c>
      <c r="D9282">
        <v>1705.0319999999999</v>
      </c>
    </row>
    <row r="9283" spans="1:4">
      <c r="A9283" t="str">
        <f>"D6011-VS40B"</f>
        <v>D6011-VS40B</v>
      </c>
      <c r="B9283" t="str">
        <f>"Ремкомплект тормозно"</f>
        <v>Ремкомплект тормозно</v>
      </c>
      <c r="C9283">
        <v>8</v>
      </c>
      <c r="D9283">
        <v>2436.1680000000001</v>
      </c>
    </row>
    <row r="9284" spans="1:4">
      <c r="A9284" t="str">
        <f>"D6160-51N25"</f>
        <v>D6160-51N25</v>
      </c>
      <c r="B9284" t="str">
        <f>"SHOE SET-BRAKE"</f>
        <v>SHOE SET-BRAKE</v>
      </c>
      <c r="C9284">
        <v>0</v>
      </c>
      <c r="D9284">
        <v>1884.1439999999998</v>
      </c>
    </row>
    <row r="9285" spans="1:4">
      <c r="A9285" t="str">
        <f>"D7900-ZC30A"</f>
        <v>D7900-ZC30A</v>
      </c>
      <c r="B9285" t="str">
        <f>"Датчик АБС"</f>
        <v>Датчик АБС</v>
      </c>
      <c r="C9285">
        <v>7</v>
      </c>
      <c r="D9285">
        <v>3405.576</v>
      </c>
    </row>
    <row r="9286" spans="1:4">
      <c r="A9286" t="str">
        <f>"D7910-ZC30A"</f>
        <v>D7910-ZC30A</v>
      </c>
      <c r="B9286" t="str">
        <f>"Датчик АБС"</f>
        <v>Датчик АБС</v>
      </c>
      <c r="C9286">
        <v>5</v>
      </c>
      <c r="D9286">
        <v>3458.2080000000001</v>
      </c>
    </row>
    <row r="9287" spans="1:4">
      <c r="A9287" t="str">
        <f>"D7910-ZR00B"</f>
        <v>D7910-ZR00B</v>
      </c>
      <c r="B9287" t="str">
        <f>"Датчик АБС"</f>
        <v>Датчик АБС</v>
      </c>
      <c r="C9287">
        <v>2</v>
      </c>
      <c r="D9287">
        <v>3400.68</v>
      </c>
    </row>
    <row r="9288" spans="1:4">
      <c r="A9288" t="str">
        <f>"D8080-9U00D"</f>
        <v>D8080-9U00D</v>
      </c>
      <c r="B9288" t="str">
        <f>"Вал рулевого механиз"</f>
        <v>Вал рулевого механиз</v>
      </c>
      <c r="C9288">
        <v>8</v>
      </c>
      <c r="D9288">
        <v>4112.232</v>
      </c>
    </row>
    <row r="9289" spans="1:4">
      <c r="A9289" t="str">
        <f>"D8203-AC80A"</f>
        <v>D8203-AC80A</v>
      </c>
      <c r="B9289" t="str">
        <f>"Пыльник"</f>
        <v>Пыльник</v>
      </c>
      <c r="C9289">
        <v>3</v>
      </c>
      <c r="D9289">
        <v>613.63199999999995</v>
      </c>
    </row>
    <row r="9290" spans="1:4">
      <c r="A9290" t="str">
        <f>"D8204-CF40A"</f>
        <v>D8204-CF40A</v>
      </c>
      <c r="B9290" t="str">
        <f>"Пыльник рулевой рейк"</f>
        <v>Пыльник рулевой рейк</v>
      </c>
      <c r="C9290">
        <v>8</v>
      </c>
      <c r="D9290">
        <v>596.49599999999998</v>
      </c>
    </row>
    <row r="9291" spans="1:4">
      <c r="A9291" t="str">
        <f>"D8510-VK90A"</f>
        <v>D8510-VK90A</v>
      </c>
      <c r="B9291" t="str">
        <f>"Тяга рулевая"</f>
        <v>Тяга рулевая</v>
      </c>
      <c r="C9291">
        <v>0</v>
      </c>
      <c r="D9291">
        <v>4502.28</v>
      </c>
    </row>
    <row r="9292" spans="1:4">
      <c r="A9292" t="str">
        <f>"D8510-VS40A"</f>
        <v>D8510-VS40A</v>
      </c>
      <c r="B9292" t="str">
        <f>"Тяга рулевая"</f>
        <v>Тяга рулевая</v>
      </c>
      <c r="C9292">
        <v>3</v>
      </c>
      <c r="D9292">
        <v>4635.2879999999996</v>
      </c>
    </row>
    <row r="9293" spans="1:4">
      <c r="A9293" t="str">
        <f>"D8510-VS42A"</f>
        <v>D8510-VS42A</v>
      </c>
      <c r="B9293" t="str">
        <f>"Тяга рулевая"</f>
        <v>Тяга рулевая</v>
      </c>
      <c r="C9293">
        <v>7</v>
      </c>
      <c r="D9293">
        <v>4437.4080000000004</v>
      </c>
    </row>
    <row r="9294" spans="1:4">
      <c r="A9294" t="str">
        <f>"D8520-0P725"</f>
        <v>D8520-0P725</v>
      </c>
      <c r="B9294" t="str">
        <f t="shared" ref="B9294:B9303" si="182">"Наконечник рулевой т"</f>
        <v>Наконечник рулевой т</v>
      </c>
      <c r="C9294">
        <v>33</v>
      </c>
      <c r="D9294">
        <v>1405.56</v>
      </c>
    </row>
    <row r="9295" spans="1:4">
      <c r="A9295" t="str">
        <f>"D8520-0W025"</f>
        <v>D8520-0W025</v>
      </c>
      <c r="B9295" t="str">
        <f t="shared" si="182"/>
        <v>Наконечник рулевой т</v>
      </c>
      <c r="C9295">
        <v>0</v>
      </c>
      <c r="D9295">
        <v>1556.9280000000001</v>
      </c>
    </row>
    <row r="9296" spans="1:4">
      <c r="A9296" t="str">
        <f>"D8520-15U26"</f>
        <v>D8520-15U26</v>
      </c>
      <c r="B9296" t="str">
        <f t="shared" si="182"/>
        <v>Наконечник рулевой т</v>
      </c>
      <c r="C9296">
        <v>11</v>
      </c>
      <c r="D9296">
        <v>1191.3599999999999</v>
      </c>
    </row>
    <row r="9297" spans="1:4">
      <c r="A9297" t="str">
        <f>"D8520-1AA0A"</f>
        <v>D8520-1AA0A</v>
      </c>
      <c r="B9297" t="str">
        <f t="shared" si="182"/>
        <v>Наконечник рулевой т</v>
      </c>
      <c r="C9297">
        <v>10</v>
      </c>
      <c r="D9297">
        <v>1925.7599999999998</v>
      </c>
    </row>
    <row r="9298" spans="1:4">
      <c r="A9298" t="str">
        <f>"D8520-9Y025"</f>
        <v>D8520-9Y025</v>
      </c>
      <c r="B9298" t="str">
        <f t="shared" si="182"/>
        <v>Наконечник рулевой т</v>
      </c>
      <c r="C9298">
        <v>44</v>
      </c>
      <c r="D9298">
        <v>1517.76</v>
      </c>
    </row>
    <row r="9299" spans="1:4">
      <c r="A9299" t="str">
        <f>"D8520-AL525"</f>
        <v>D8520-AL525</v>
      </c>
      <c r="B9299" t="str">
        <f t="shared" si="182"/>
        <v>Наконечник рулевой т</v>
      </c>
      <c r="C9299">
        <v>12</v>
      </c>
      <c r="D9299">
        <v>1904.5439999999999</v>
      </c>
    </row>
    <row r="9300" spans="1:4">
      <c r="A9300" t="str">
        <f>"D8520-CB025"</f>
        <v>D8520-CB025</v>
      </c>
      <c r="B9300" t="str">
        <f t="shared" si="182"/>
        <v>Наконечник рулевой т</v>
      </c>
      <c r="C9300">
        <v>6</v>
      </c>
      <c r="D9300">
        <v>1853.5439999999999</v>
      </c>
    </row>
    <row r="9301" spans="1:4">
      <c r="A9301" t="str">
        <f>"D8520-EG025"</f>
        <v>D8520-EG025</v>
      </c>
      <c r="B9301" t="str">
        <f t="shared" si="182"/>
        <v>Наконечник рулевой т</v>
      </c>
      <c r="C9301">
        <v>17</v>
      </c>
      <c r="D9301">
        <v>1808.2560000000001</v>
      </c>
    </row>
    <row r="9302" spans="1:4">
      <c r="A9302" t="str">
        <f>"D8520-EW00A"</f>
        <v>D8520-EW00A</v>
      </c>
      <c r="B9302" t="str">
        <f t="shared" si="182"/>
        <v>Наконечник рулевой т</v>
      </c>
      <c r="C9302">
        <v>18</v>
      </c>
      <c r="D9302">
        <v>2590.7999999999997</v>
      </c>
    </row>
    <row r="9303" spans="1:4">
      <c r="A9303" t="str">
        <f>"D8520-JA00A"</f>
        <v>D8520-JA00A</v>
      </c>
      <c r="B9303" t="str">
        <f t="shared" si="182"/>
        <v>Наконечник рулевой т</v>
      </c>
      <c r="C9303">
        <v>17</v>
      </c>
      <c r="D9303">
        <v>1233.7920000000001</v>
      </c>
    </row>
    <row r="9304" spans="1:4">
      <c r="A9304" t="str">
        <f>"D8520-JY00A"</f>
        <v>D8520-JY00A</v>
      </c>
      <c r="B9304" t="str">
        <f>"Наконечник рулев"</f>
        <v>Наконечник рулев</v>
      </c>
      <c r="C9304">
        <v>1</v>
      </c>
      <c r="D9304">
        <v>2648.328</v>
      </c>
    </row>
    <row r="9305" spans="1:4">
      <c r="A9305" t="str">
        <f>"D8520-VK90A"</f>
        <v>D8520-VK90A</v>
      </c>
      <c r="B9305" t="str">
        <f t="shared" ref="B9305:B9315" si="183">"Наконечник рулевой т"</f>
        <v>Наконечник рулевой т</v>
      </c>
      <c r="C9305">
        <v>5</v>
      </c>
      <c r="D9305">
        <v>1824.9839999999999</v>
      </c>
    </row>
    <row r="9306" spans="1:4">
      <c r="A9306" t="str">
        <f>"D8520-VS40A"</f>
        <v>D8520-VS40A</v>
      </c>
      <c r="B9306" t="str">
        <f t="shared" si="183"/>
        <v>Наконечник рулевой т</v>
      </c>
      <c r="C9306">
        <v>8</v>
      </c>
      <c r="D9306">
        <v>1893.9359999999999</v>
      </c>
    </row>
    <row r="9307" spans="1:4">
      <c r="A9307" t="str">
        <f>"D8520-VS42A"</f>
        <v>D8520-VS42A</v>
      </c>
      <c r="B9307" t="str">
        <f t="shared" si="183"/>
        <v>Наконечник рулевой т</v>
      </c>
      <c r="C9307">
        <v>17</v>
      </c>
      <c r="D9307">
        <v>2057.136</v>
      </c>
    </row>
    <row r="9308" spans="1:4">
      <c r="A9308" t="str">
        <f>"D8521-1AA0A"</f>
        <v>D8521-1AA0A</v>
      </c>
      <c r="B9308" t="str">
        <f t="shared" si="183"/>
        <v>Наконечник рулевой т</v>
      </c>
      <c r="C9308">
        <v>15</v>
      </c>
      <c r="D9308">
        <v>1239.0959999999998</v>
      </c>
    </row>
    <row r="9309" spans="1:4">
      <c r="A9309" t="str">
        <f>"D8521-1CA0A"</f>
        <v>D8521-1CA0A</v>
      </c>
      <c r="B9309" t="str">
        <f t="shared" si="183"/>
        <v>Наконечник рулевой т</v>
      </c>
      <c r="C9309">
        <v>2</v>
      </c>
      <c r="D9309">
        <v>1381.0800000000002</v>
      </c>
    </row>
    <row r="9310" spans="1:4">
      <c r="A9310" t="str">
        <f>"D8521-JA00A"</f>
        <v>D8521-JA00A</v>
      </c>
      <c r="B9310" t="str">
        <f t="shared" si="183"/>
        <v>Наконечник рулевой т</v>
      </c>
      <c r="C9310">
        <v>8</v>
      </c>
      <c r="D9310">
        <v>2064.8879999999999</v>
      </c>
    </row>
    <row r="9311" spans="1:4">
      <c r="A9311" t="str">
        <f>"D8521-JD00B"</f>
        <v>D8521-JD00B</v>
      </c>
      <c r="B9311" t="str">
        <f t="shared" si="183"/>
        <v>Наконечник рулевой т</v>
      </c>
      <c r="C9311">
        <v>26</v>
      </c>
      <c r="D9311">
        <v>1782.9599999999998</v>
      </c>
    </row>
    <row r="9312" spans="1:4">
      <c r="A9312" t="str">
        <f>"D8560-VK90A"</f>
        <v>D8560-VK90A</v>
      </c>
      <c r="B9312" t="str">
        <f t="shared" si="183"/>
        <v>Наконечник рулевой т</v>
      </c>
      <c r="C9312">
        <v>0</v>
      </c>
      <c r="D9312">
        <v>9612.0720000000001</v>
      </c>
    </row>
    <row r="9313" spans="1:4">
      <c r="A9313" t="str">
        <f>"D8570-VK90A"</f>
        <v>D8570-VK90A</v>
      </c>
      <c r="B9313" t="str">
        <f t="shared" si="183"/>
        <v>Наконечник рулевой т</v>
      </c>
      <c r="C9313">
        <v>4</v>
      </c>
      <c r="D9313">
        <v>1663.8239999999998</v>
      </c>
    </row>
    <row r="9314" spans="1:4">
      <c r="A9314" t="str">
        <f>"D8570-VS40A"</f>
        <v>D8570-VS40A</v>
      </c>
      <c r="B9314" t="str">
        <f t="shared" si="183"/>
        <v>Наконечник рулевой т</v>
      </c>
      <c r="C9314">
        <v>12</v>
      </c>
      <c r="D9314">
        <v>1796.0160000000001</v>
      </c>
    </row>
    <row r="9315" spans="1:4">
      <c r="A9315" t="str">
        <f>"D8570-VS42A"</f>
        <v>D8570-VS42A</v>
      </c>
      <c r="B9315" t="str">
        <f t="shared" si="183"/>
        <v>Наконечник рулевой т</v>
      </c>
      <c r="C9315">
        <v>16</v>
      </c>
      <c r="D9315">
        <v>1928.616</v>
      </c>
    </row>
    <row r="9316" spans="1:4">
      <c r="A9316" t="str">
        <f>"D8635-JG00A"</f>
        <v>D8635-JG00A</v>
      </c>
      <c r="B9316" t="str">
        <f>"Заглушка"</f>
        <v>Заглушка</v>
      </c>
      <c r="C9316">
        <v>0</v>
      </c>
      <c r="D9316">
        <v>493.67999999999995</v>
      </c>
    </row>
    <row r="9317" spans="1:4">
      <c r="A9317" t="str">
        <f>"D8640-9Y025"</f>
        <v>D8640-9Y025</v>
      </c>
      <c r="B9317" t="str">
        <f>"Наконечник рулевой т"</f>
        <v>Наконечник рулевой т</v>
      </c>
      <c r="C9317">
        <v>10</v>
      </c>
      <c r="D9317">
        <v>1355.376</v>
      </c>
    </row>
    <row r="9318" spans="1:4">
      <c r="A9318" t="str">
        <f>"D8640-EG025"</f>
        <v>D8640-EG025</v>
      </c>
      <c r="B9318" t="str">
        <f>"Наконечник рулевой т"</f>
        <v>Наконечник рулевой т</v>
      </c>
      <c r="C9318">
        <v>28</v>
      </c>
      <c r="D9318">
        <v>1769.4959999999999</v>
      </c>
    </row>
    <row r="9319" spans="1:4">
      <c r="A9319" t="str">
        <f>"D8640-EW00A"</f>
        <v>D8640-EW00A</v>
      </c>
      <c r="B9319" t="str">
        <f>"Наконечник рулевой т"</f>
        <v>Наконечник рулевой т</v>
      </c>
      <c r="C9319">
        <v>18</v>
      </c>
      <c r="D9319">
        <v>2590.7999999999997</v>
      </c>
    </row>
    <row r="9320" spans="1:4">
      <c r="A9320" t="str">
        <f>"D8640-JA00A"</f>
        <v>D8640-JA00A</v>
      </c>
      <c r="B9320" t="str">
        <f>"Наконечник рулевой т"</f>
        <v>Наконечник рулевой т</v>
      </c>
      <c r="C9320">
        <v>4</v>
      </c>
      <c r="D9320">
        <v>1171.7760000000001</v>
      </c>
    </row>
    <row r="9321" spans="1:4">
      <c r="A9321" t="str">
        <f>"D8640-JY00A"</f>
        <v>D8640-JY00A</v>
      </c>
      <c r="B9321" t="str">
        <f>"SOCKET KIT-TIE"</f>
        <v>SOCKET KIT-TIE</v>
      </c>
      <c r="C9321">
        <v>0</v>
      </c>
      <c r="D9321">
        <v>2648.328</v>
      </c>
    </row>
    <row r="9322" spans="1:4">
      <c r="A9322" t="str">
        <f>"D8680-VS41A"</f>
        <v>D8680-VS41A</v>
      </c>
      <c r="B9322" t="str">
        <f>"Тяга рулевая"</f>
        <v>Тяга рулевая</v>
      </c>
      <c r="C9322">
        <v>5</v>
      </c>
      <c r="D9322">
        <v>7005.36</v>
      </c>
    </row>
    <row r="9323" spans="1:4">
      <c r="A9323" t="str">
        <f>"D8680-VS42A"</f>
        <v>D8680-VS42A</v>
      </c>
      <c r="B9323" t="str">
        <f>"Тяга рулевая"</f>
        <v>Тяга рулевая</v>
      </c>
      <c r="C9323">
        <v>3</v>
      </c>
      <c r="D9323">
        <v>7052.28</v>
      </c>
    </row>
    <row r="9324" spans="1:4">
      <c r="A9324" t="str">
        <f>"D8700-JD00B"</f>
        <v>D8700-JD00B</v>
      </c>
      <c r="B9324" t="str">
        <f>"Замок зажигания в сб"</f>
        <v>Замок зажигания в сб</v>
      </c>
      <c r="C9324">
        <v>3</v>
      </c>
      <c r="D9324">
        <v>6324</v>
      </c>
    </row>
    <row r="9325" spans="1:4">
      <c r="A9325" t="str">
        <f>"D8E20-CG80A"</f>
        <v>D8E20-CG80A</v>
      </c>
      <c r="B9325" t="str">
        <f>"Наконечник рулевой т"</f>
        <v>Наконечник рулевой т</v>
      </c>
      <c r="C9325">
        <v>65</v>
      </c>
      <c r="D9325">
        <v>1431.6719999999998</v>
      </c>
    </row>
    <row r="9326" spans="1:4">
      <c r="A9326" t="str">
        <f>"D8E20-JG00A"</f>
        <v>D8E20-JG00A</v>
      </c>
      <c r="B9326" t="str">
        <f>"Наконечник рулевой т"</f>
        <v>Наконечник рулевой т</v>
      </c>
      <c r="C9326">
        <v>33</v>
      </c>
      <c r="D9326">
        <v>2577.3360000000002</v>
      </c>
    </row>
    <row r="9327" spans="1:4">
      <c r="A9327" t="str">
        <f>"D8E21-JK61A"</f>
        <v>D8E21-JK61A</v>
      </c>
      <c r="B9327" t="str">
        <f>"Рулевой наконечн"</f>
        <v>Рулевой наконечн</v>
      </c>
      <c r="C9327">
        <v>0</v>
      </c>
      <c r="D9327">
        <v>1743.7920000000001</v>
      </c>
    </row>
    <row r="9328" spans="1:4">
      <c r="A9328" t="str">
        <f>"D8F40-CG80A"</f>
        <v>D8F40-CG80A</v>
      </c>
      <c r="B9328" t="str">
        <f>"Наконечник рулевой т"</f>
        <v>Наконечник рулевой т</v>
      </c>
      <c r="C9328">
        <v>27</v>
      </c>
      <c r="D9328">
        <v>1459.4159999999999</v>
      </c>
    </row>
    <row r="9329" spans="1:4">
      <c r="A9329" t="str">
        <f>"D8F40-JG00A"</f>
        <v>D8F40-JG00A</v>
      </c>
      <c r="B9329" t="str">
        <f>"Наконечник рулевой т"</f>
        <v>Наконечник рулевой т</v>
      </c>
      <c r="C9329">
        <v>0</v>
      </c>
      <c r="D9329">
        <v>2539.3919999999998</v>
      </c>
    </row>
    <row r="9330" spans="1:4">
      <c r="A9330" t="str">
        <f>"D9297-1AA0A"</f>
        <v>D9297-1AA0A</v>
      </c>
      <c r="B9330" t="str">
        <f>"Сальники к-т"</f>
        <v>Сальники к-т</v>
      </c>
      <c r="C9330">
        <v>0</v>
      </c>
      <c r="D9330">
        <v>799.68</v>
      </c>
    </row>
    <row r="9331" spans="1:4">
      <c r="A9331" t="str">
        <f>"D9297-JB50A"</f>
        <v>D9297-JB50A</v>
      </c>
      <c r="B9331" t="str">
        <f>"Уплотнительное кольц"</f>
        <v>Уплотнительное кольц</v>
      </c>
      <c r="C9331">
        <v>8</v>
      </c>
      <c r="D9331">
        <v>1922.4959999999999</v>
      </c>
    </row>
    <row r="9332" spans="1:4">
      <c r="A9332" t="str">
        <f>"DA060-31E85"</f>
        <v>DA060-31E85</v>
      </c>
      <c r="B9332" t="str">
        <f>"BRAKE PAD A/F"</f>
        <v>BRAKE PAD A/F</v>
      </c>
      <c r="C9332">
        <v>3</v>
      </c>
      <c r="D9332">
        <v>2138.328</v>
      </c>
    </row>
    <row r="9333" spans="1:4">
      <c r="A9333" t="str">
        <f>"DA060-EB325"</f>
        <v>DA060-EB325</v>
      </c>
      <c r="B9333" t="str">
        <f>"Колодки торм к-т (4 "</f>
        <v xml:space="preserve">Колодки торм к-т (4 </v>
      </c>
      <c r="C9333">
        <v>15</v>
      </c>
      <c r="D9333">
        <v>2610.384</v>
      </c>
    </row>
    <row r="9334" spans="1:4">
      <c r="A9334" t="str">
        <f>"DA060-EB326"</f>
        <v>DA060-EB326</v>
      </c>
      <c r="B9334" t="str">
        <f>"Колодки торм к-т (4 "</f>
        <v xml:space="preserve">Колодки торм к-т (4 </v>
      </c>
      <c r="C9334">
        <v>18</v>
      </c>
      <c r="D9334">
        <v>2485.1280000000002</v>
      </c>
    </row>
    <row r="9335" spans="1:4">
      <c r="A9335" t="str">
        <f>"DD060-56G26"</f>
        <v>DD060-56G26</v>
      </c>
      <c r="B9335" t="str">
        <f>"Колодки ручного торм"</f>
        <v>Колодки ручного торм</v>
      </c>
      <c r="C9335">
        <v>5</v>
      </c>
      <c r="D9335">
        <v>2802.96</v>
      </c>
    </row>
    <row r="9336" spans="1:4">
      <c r="A9336" t="str">
        <f>"E1010-5X2MA"</f>
        <v>E1010-5X2MA</v>
      </c>
      <c r="B9336" t="str">
        <f>"Балка рамы перед"</f>
        <v>Балка рамы перед</v>
      </c>
      <c r="C9336">
        <v>2</v>
      </c>
      <c r="D9336">
        <v>13938.096</v>
      </c>
    </row>
    <row r="9337" spans="1:4">
      <c r="A9337" t="str">
        <f>"E1010-EB3MA"</f>
        <v>E1010-EB3MA</v>
      </c>
      <c r="B9337" t="str">
        <f>"Балка рамы перед"</f>
        <v>Балка рамы перед</v>
      </c>
      <c r="C9337">
        <v>2</v>
      </c>
      <c r="D9337">
        <v>13478.688</v>
      </c>
    </row>
    <row r="9338" spans="1:4">
      <c r="A9338" t="str">
        <f>"E4302-1AN0B"</f>
        <v>E4302-1AN0B</v>
      </c>
      <c r="B9338" t="str">
        <f t="shared" ref="B9338:B9344" si="184">"Стойка амортизаторна"</f>
        <v>Стойка амортизаторна</v>
      </c>
      <c r="C9338">
        <v>0</v>
      </c>
      <c r="D9338">
        <v>10494.575999999999</v>
      </c>
    </row>
    <row r="9339" spans="1:4">
      <c r="A9339" t="str">
        <f>"E4302-7Y01B"</f>
        <v>E4302-7Y01B</v>
      </c>
      <c r="B9339" t="str">
        <f t="shared" si="184"/>
        <v>Стойка амортизаторна</v>
      </c>
      <c r="C9339">
        <v>1</v>
      </c>
      <c r="D9339">
        <v>7783.8240000000005</v>
      </c>
    </row>
    <row r="9340" spans="1:4">
      <c r="A9340" t="str">
        <f>"E4302-9U00C"</f>
        <v>E4302-9U00C</v>
      </c>
      <c r="B9340" t="str">
        <f t="shared" si="184"/>
        <v>Стойка амортизаторна</v>
      </c>
      <c r="C9340">
        <v>5</v>
      </c>
      <c r="D9340">
        <v>7009.44</v>
      </c>
    </row>
    <row r="9341" spans="1:4">
      <c r="A9341" t="str">
        <f>"E4302-9U00D"</f>
        <v>E4302-9U00D</v>
      </c>
      <c r="B9341" t="str">
        <f t="shared" si="184"/>
        <v>Стойка амортизаторна</v>
      </c>
      <c r="C9341">
        <v>1</v>
      </c>
      <c r="D9341">
        <v>6625.1040000000003</v>
      </c>
    </row>
    <row r="9342" spans="1:4">
      <c r="A9342" t="str">
        <f>"E4302-9Y026"</f>
        <v>E4302-9Y026</v>
      </c>
      <c r="B9342" t="str">
        <f t="shared" si="184"/>
        <v>Стойка амортизаторна</v>
      </c>
      <c r="C9342">
        <v>6</v>
      </c>
      <c r="D9342">
        <v>10131.455999999998</v>
      </c>
    </row>
    <row r="9343" spans="1:4">
      <c r="A9343" t="str">
        <f>"E4302-9Y126"</f>
        <v>E4302-9Y126</v>
      </c>
      <c r="B9343" t="str">
        <f t="shared" si="184"/>
        <v>Стойка амортизаторна</v>
      </c>
      <c r="C9343">
        <v>0</v>
      </c>
      <c r="D9343">
        <v>8996.4</v>
      </c>
    </row>
    <row r="9344" spans="1:4">
      <c r="A9344" t="str">
        <f>"E4302-BA00A"</f>
        <v>E4302-BA00A</v>
      </c>
      <c r="B9344" t="str">
        <f t="shared" si="184"/>
        <v>Стойка амортизаторна</v>
      </c>
      <c r="C9344">
        <v>6</v>
      </c>
      <c r="D9344">
        <v>6998.8319999999994</v>
      </c>
    </row>
    <row r="9345" spans="1:4">
      <c r="A9345" t="str">
        <f>"E4302-BM425"</f>
        <v>E4302-BM425</v>
      </c>
      <c r="B9345" t="str">
        <f>"STRUT KIT-FRONT"</f>
        <v>STRUT KIT-FRONT</v>
      </c>
      <c r="C9345">
        <v>1</v>
      </c>
      <c r="D9345">
        <v>7080.0240000000003</v>
      </c>
    </row>
    <row r="9346" spans="1:4">
      <c r="A9346" t="str">
        <f>"E4302-EC80A"</f>
        <v>E4302-EC80A</v>
      </c>
      <c r="B9346" t="str">
        <f t="shared" ref="B9346:B9356" si="185">"Стойка амортизаторна"</f>
        <v>Стойка амортизаторна</v>
      </c>
      <c r="C9346">
        <v>4</v>
      </c>
      <c r="D9346">
        <v>6712.0079999999998</v>
      </c>
    </row>
    <row r="9347" spans="1:4">
      <c r="A9347" t="str">
        <f>"E4302-JD04A"</f>
        <v>E4302-JD04A</v>
      </c>
      <c r="B9347" t="str">
        <f t="shared" si="185"/>
        <v>Стойка амортизаторна</v>
      </c>
      <c r="C9347">
        <v>25</v>
      </c>
      <c r="D9347">
        <v>7566.768</v>
      </c>
    </row>
    <row r="9348" spans="1:4">
      <c r="A9348" t="str">
        <f>"E4302-JE21A"</f>
        <v>E4302-JE21A</v>
      </c>
      <c r="B9348" t="str">
        <f t="shared" si="185"/>
        <v>Стойка амортизаторна</v>
      </c>
      <c r="C9348">
        <v>0</v>
      </c>
      <c r="D9348">
        <v>9614.52</v>
      </c>
    </row>
    <row r="9349" spans="1:4">
      <c r="A9349" t="str">
        <f>"E4302-JG01A"</f>
        <v>E4302-JG01A</v>
      </c>
      <c r="B9349" t="str">
        <f t="shared" si="185"/>
        <v>Стойка амортизаторна</v>
      </c>
      <c r="C9349">
        <v>0</v>
      </c>
      <c r="D9349">
        <v>7676.1120000000001</v>
      </c>
    </row>
    <row r="9350" spans="1:4">
      <c r="A9350" t="str">
        <f>"E4302-JN00D"</f>
        <v>E4302-JN00D</v>
      </c>
      <c r="B9350" t="str">
        <f t="shared" si="185"/>
        <v>Стойка амортизаторна</v>
      </c>
      <c r="C9350">
        <v>3</v>
      </c>
      <c r="D9350">
        <v>9759.36</v>
      </c>
    </row>
    <row r="9351" spans="1:4">
      <c r="A9351" t="str">
        <f>"E4303-1AN0B"</f>
        <v>E4303-1AN0B</v>
      </c>
      <c r="B9351" t="str">
        <f t="shared" si="185"/>
        <v>Стойка амортизаторна</v>
      </c>
      <c r="C9351">
        <v>1</v>
      </c>
      <c r="D9351">
        <v>10452.144</v>
      </c>
    </row>
    <row r="9352" spans="1:4">
      <c r="A9352" t="str">
        <f>"E4303-7Y01B"</f>
        <v>E4303-7Y01B</v>
      </c>
      <c r="B9352" t="str">
        <f t="shared" si="185"/>
        <v>Стойка амортизаторна</v>
      </c>
      <c r="C9352">
        <v>2</v>
      </c>
      <c r="D9352">
        <v>8141.6399999999994</v>
      </c>
    </row>
    <row r="9353" spans="1:4">
      <c r="A9353" t="str">
        <f>"E4303-9U00C"</f>
        <v>E4303-9U00C</v>
      </c>
      <c r="B9353" t="str">
        <f t="shared" si="185"/>
        <v>Стойка амортизаторна</v>
      </c>
      <c r="C9353">
        <v>0</v>
      </c>
      <c r="D9353">
        <v>6771.5759999999991</v>
      </c>
    </row>
    <row r="9354" spans="1:4">
      <c r="A9354" t="str">
        <f>"E4303-9U00D"</f>
        <v>E4303-9U00D</v>
      </c>
      <c r="B9354" t="str">
        <f t="shared" si="185"/>
        <v>Стойка амортизаторна</v>
      </c>
      <c r="C9354">
        <v>3</v>
      </c>
      <c r="D9354">
        <v>6451.7039999999997</v>
      </c>
    </row>
    <row r="9355" spans="1:4">
      <c r="A9355" t="str">
        <f>"E4303-9Y026"</f>
        <v>E4303-9Y026</v>
      </c>
      <c r="B9355" t="str">
        <f t="shared" si="185"/>
        <v>Стойка амортизаторна</v>
      </c>
      <c r="C9355">
        <v>6</v>
      </c>
      <c r="D9355">
        <v>8600.64</v>
      </c>
    </row>
    <row r="9356" spans="1:4">
      <c r="A9356" t="str">
        <f>"E4303-9Y126"</f>
        <v>E4303-9Y126</v>
      </c>
      <c r="B9356" t="str">
        <f t="shared" si="185"/>
        <v>Стойка амортизаторна</v>
      </c>
      <c r="C9356">
        <v>1</v>
      </c>
      <c r="D9356">
        <v>8598.1919999999991</v>
      </c>
    </row>
    <row r="9357" spans="1:4">
      <c r="A9357" t="str">
        <f>"E4303-BM425"</f>
        <v>E4303-BM425</v>
      </c>
      <c r="B9357" t="str">
        <f>"STRUT KIT-FRONT"</f>
        <v>STRUT KIT-FRONT</v>
      </c>
      <c r="C9357">
        <v>2</v>
      </c>
      <c r="D9357">
        <v>6841.7519999999995</v>
      </c>
    </row>
    <row r="9358" spans="1:4">
      <c r="A9358" t="str">
        <f>"E4303-EC80A"</f>
        <v>E4303-EC80A</v>
      </c>
      <c r="B9358" t="str">
        <f>"Стойка амортизаторна"</f>
        <v>Стойка амортизаторна</v>
      </c>
      <c r="C9358">
        <v>11</v>
      </c>
      <c r="D9358">
        <v>6993.5279999999993</v>
      </c>
    </row>
    <row r="9359" spans="1:4">
      <c r="A9359" t="str">
        <f>"E4303-JD04A"</f>
        <v>E4303-JD04A</v>
      </c>
      <c r="B9359" t="str">
        <f>"Стойка амортизаторна"</f>
        <v>Стойка амортизаторна</v>
      </c>
      <c r="C9359">
        <v>29</v>
      </c>
      <c r="D9359">
        <v>7933.9679999999998</v>
      </c>
    </row>
    <row r="9360" spans="1:4">
      <c r="A9360" t="str">
        <f>"E4303-JE21A"</f>
        <v>E4303-JE21A</v>
      </c>
      <c r="B9360" t="str">
        <f>"Стойка амортизаторна"</f>
        <v>Стойка амортизаторна</v>
      </c>
      <c r="C9360">
        <v>4</v>
      </c>
      <c r="D9360">
        <v>9743.8559999999998</v>
      </c>
    </row>
    <row r="9361" spans="1:4">
      <c r="A9361" t="str">
        <f>"E4303-JG01A"</f>
        <v>E4303-JG01A</v>
      </c>
      <c r="B9361" t="str">
        <f>"Стойка амортизаторна"</f>
        <v>Стойка амортизаторна</v>
      </c>
      <c r="C9361">
        <v>6</v>
      </c>
      <c r="D9361">
        <v>7815.24</v>
      </c>
    </row>
    <row r="9362" spans="1:4">
      <c r="A9362" t="str">
        <f>"E4303-JN00D"</f>
        <v>E4303-JN00D</v>
      </c>
      <c r="B9362" t="str">
        <f>"Стойка амортизаторна"</f>
        <v>Стойка амортизаторна</v>
      </c>
      <c r="C9362">
        <v>7</v>
      </c>
      <c r="D9362">
        <v>9757.32</v>
      </c>
    </row>
    <row r="9363" spans="1:4">
      <c r="A9363" t="str">
        <f>"E4476-VC000"</f>
        <v>E4476-VC000</v>
      </c>
      <c r="B9363" t="str">
        <f>" BUSH-MOUNTING,"</f>
        <v xml:space="preserve"> BUSH-MOUNTING,</v>
      </c>
      <c r="C9363">
        <v>0</v>
      </c>
      <c r="D9363">
        <v>146.06399999999999</v>
      </c>
    </row>
    <row r="9364" spans="1:4">
      <c r="A9364" t="str">
        <f>"E4500-VK385"</f>
        <v>E4500-VK385</v>
      </c>
      <c r="B9364" t="str">
        <f>"Рычаг нижний пра"</f>
        <v>Рычаг нижний пра</v>
      </c>
      <c r="C9364">
        <v>6</v>
      </c>
      <c r="D9364">
        <v>6789.9359999999997</v>
      </c>
    </row>
    <row r="9365" spans="1:4">
      <c r="A9365" t="str">
        <f>"E4501-VK385"</f>
        <v>E4501-VK385</v>
      </c>
      <c r="B9365" t="str">
        <f>"Рычаг нижний лев"</f>
        <v>Рычаг нижний лев</v>
      </c>
      <c r="C9365">
        <v>7</v>
      </c>
      <c r="D9365">
        <v>6765.4560000000001</v>
      </c>
    </row>
    <row r="9366" spans="1:4">
      <c r="A9366" t="str">
        <f>"E4582-VB000"</f>
        <v>E4582-VB000</v>
      </c>
      <c r="B9366" t="str">
        <f>"ROD ASSY PANHAR"</f>
        <v>ROD ASSY PANHAR</v>
      </c>
      <c r="C9366">
        <v>6</v>
      </c>
      <c r="D9366">
        <v>5688.3359999999993</v>
      </c>
    </row>
    <row r="9367" spans="1:4">
      <c r="A9367" t="str">
        <f>"E4C02-CC40A"</f>
        <v>E4C02-CC40A</v>
      </c>
      <c r="B9367" t="str">
        <f>"Стойка амортизаторна"</f>
        <v>Стойка амортизаторна</v>
      </c>
      <c r="C9367">
        <v>1</v>
      </c>
      <c r="D9367">
        <v>8925.4079999999994</v>
      </c>
    </row>
    <row r="9368" spans="1:4">
      <c r="A9368" t="str">
        <f>"E4C02-CM80A"</f>
        <v>E4C02-CM80A</v>
      </c>
      <c r="B9368" t="str">
        <f>"Стойка амортизаторна"</f>
        <v>Стойка амортизаторна</v>
      </c>
      <c r="C9368">
        <v>1</v>
      </c>
      <c r="D9368">
        <v>12730.415999999999</v>
      </c>
    </row>
    <row r="9369" spans="1:4">
      <c r="A9369" t="str">
        <f>"E4C03-CC40A"</f>
        <v>E4C03-CC40A</v>
      </c>
      <c r="B9369" t="str">
        <f>"Стойка амортизаторна"</f>
        <v>Стойка амортизаторна</v>
      </c>
      <c r="C9369">
        <v>1</v>
      </c>
      <c r="D9369">
        <v>8737.32</v>
      </c>
    </row>
    <row r="9370" spans="1:4">
      <c r="A9370" t="str">
        <f>"E4C03-CM80A"</f>
        <v>E4C03-CM80A</v>
      </c>
      <c r="B9370" t="str">
        <f>"Стойка амортизаторна"</f>
        <v>Стойка амортизаторна</v>
      </c>
      <c r="C9370">
        <v>1</v>
      </c>
      <c r="D9370">
        <v>12277.536</v>
      </c>
    </row>
    <row r="9371" spans="1:4">
      <c r="A9371" t="str">
        <f>"E6110-1CF0F"</f>
        <v>E6110-1CF0F</v>
      </c>
      <c r="B9371" t="str">
        <f t="shared" ref="B9371:B9397" si="186">"Амортизатор подвески"</f>
        <v>Амортизатор подвески</v>
      </c>
      <c r="C9371">
        <v>2</v>
      </c>
      <c r="D9371">
        <v>6415.3919999999998</v>
      </c>
    </row>
    <row r="9372" spans="1:4">
      <c r="A9372" t="str">
        <f>"E6110-EJ70B"</f>
        <v>E6110-EJ70B</v>
      </c>
      <c r="B9372" t="str">
        <f t="shared" si="186"/>
        <v>Амортизатор подвески</v>
      </c>
      <c r="C9372">
        <v>0</v>
      </c>
      <c r="D9372">
        <v>5596.5359999999991</v>
      </c>
    </row>
    <row r="9373" spans="1:4">
      <c r="A9373" t="str">
        <f>"E6110-JK50D"</f>
        <v>E6110-JK50D</v>
      </c>
      <c r="B9373" t="str">
        <f t="shared" si="186"/>
        <v>Амортизатор подвески</v>
      </c>
      <c r="C9373">
        <v>3</v>
      </c>
      <c r="D9373">
        <v>5223.2160000000003</v>
      </c>
    </row>
    <row r="9374" spans="1:4">
      <c r="A9374" t="str">
        <f>"E6110-ZZ50B"</f>
        <v>E6110-ZZ50B</v>
      </c>
      <c r="B9374" t="str">
        <f t="shared" si="186"/>
        <v>Амортизатор подвески</v>
      </c>
      <c r="C9374">
        <v>0</v>
      </c>
      <c r="D9374">
        <v>4454.5439999999999</v>
      </c>
    </row>
    <row r="9375" spans="1:4">
      <c r="A9375" t="str">
        <f>"E6110-ZZ51B"</f>
        <v>E6110-ZZ51B</v>
      </c>
      <c r="B9375" t="str">
        <f t="shared" si="186"/>
        <v>Амортизатор подвески</v>
      </c>
      <c r="C9375">
        <v>0</v>
      </c>
      <c r="D9375">
        <v>4497.384</v>
      </c>
    </row>
    <row r="9376" spans="1:4">
      <c r="A9376" t="str">
        <f>"E6111-1CB0C"</f>
        <v>E6111-1CB0C</v>
      </c>
      <c r="B9376" t="str">
        <f t="shared" si="186"/>
        <v>Амортизатор подвески</v>
      </c>
      <c r="C9376">
        <v>0</v>
      </c>
      <c r="D9376">
        <v>5633.2560000000003</v>
      </c>
    </row>
    <row r="9377" spans="1:4">
      <c r="A9377" t="str">
        <f>"E6111-1CF0F"</f>
        <v>E6111-1CF0F</v>
      </c>
      <c r="B9377" t="str">
        <f t="shared" si="186"/>
        <v>Амортизатор подвески</v>
      </c>
      <c r="C9377">
        <v>3</v>
      </c>
      <c r="D9377">
        <v>6415.3919999999998</v>
      </c>
    </row>
    <row r="9378" spans="1:4">
      <c r="A9378" t="str">
        <f>"E6111-EJ70B"</f>
        <v>E6111-EJ70B</v>
      </c>
      <c r="B9378" t="str">
        <f t="shared" si="186"/>
        <v>Амортизатор подвески</v>
      </c>
      <c r="C9378">
        <v>0</v>
      </c>
      <c r="D9378">
        <v>5598.5759999999991</v>
      </c>
    </row>
    <row r="9379" spans="1:4">
      <c r="A9379" t="str">
        <f>"E6111-JK50D"</f>
        <v>E6111-JK50D</v>
      </c>
      <c r="B9379" t="str">
        <f t="shared" si="186"/>
        <v>Амортизатор подвески</v>
      </c>
      <c r="C9379">
        <v>2</v>
      </c>
      <c r="D9379">
        <v>5338.2719999999999</v>
      </c>
    </row>
    <row r="9380" spans="1:4">
      <c r="A9380" t="str">
        <f>"E6200-0W025"</f>
        <v>E6200-0W025</v>
      </c>
      <c r="B9380" t="str">
        <f t="shared" si="186"/>
        <v>Амортизатор подвески</v>
      </c>
      <c r="C9380">
        <v>6</v>
      </c>
      <c r="D9380">
        <v>3587.9519999999998</v>
      </c>
    </row>
    <row r="9381" spans="1:4">
      <c r="A9381" t="str">
        <f>"E6200-4W025"</f>
        <v>E6200-4W025</v>
      </c>
      <c r="B9381" t="str">
        <f t="shared" si="186"/>
        <v>Амортизатор подвески</v>
      </c>
      <c r="C9381">
        <v>4</v>
      </c>
      <c r="D9381">
        <v>4432.5119999999997</v>
      </c>
    </row>
    <row r="9382" spans="1:4">
      <c r="A9382" t="str">
        <f>"E6210-1CA0A"</f>
        <v>E6210-1CA0A</v>
      </c>
      <c r="B9382" t="str">
        <f t="shared" si="186"/>
        <v>Амортизатор подвески</v>
      </c>
      <c r="C9382">
        <v>0</v>
      </c>
      <c r="D9382">
        <v>4885.3919999999998</v>
      </c>
    </row>
    <row r="9383" spans="1:4">
      <c r="A9383" t="str">
        <f>"E6210-1DA1B"</f>
        <v>E6210-1DA1B</v>
      </c>
      <c r="B9383" t="str">
        <f t="shared" si="186"/>
        <v>Амортизатор подвески</v>
      </c>
      <c r="C9383">
        <v>0</v>
      </c>
      <c r="D9383">
        <v>3030.6239999999998</v>
      </c>
    </row>
    <row r="9384" spans="1:4">
      <c r="A9384" t="str">
        <f>"E6210-9U00C"</f>
        <v>E6210-9U00C</v>
      </c>
      <c r="B9384" t="str">
        <f t="shared" si="186"/>
        <v>Амортизатор подвески</v>
      </c>
      <c r="C9384">
        <v>5</v>
      </c>
      <c r="D9384">
        <v>2499</v>
      </c>
    </row>
    <row r="9385" spans="1:4">
      <c r="A9385" t="str">
        <f>"E6210-9U00D"</f>
        <v>E6210-9U00D</v>
      </c>
      <c r="B9385" t="str">
        <f t="shared" si="186"/>
        <v>Амортизатор подвески</v>
      </c>
      <c r="C9385">
        <v>3</v>
      </c>
      <c r="D9385">
        <v>3046.944</v>
      </c>
    </row>
    <row r="9386" spans="1:4">
      <c r="A9386" t="str">
        <f>"E6210-9Y026"</f>
        <v>E6210-9Y026</v>
      </c>
      <c r="B9386" t="str">
        <f t="shared" si="186"/>
        <v>Амортизатор подвески</v>
      </c>
      <c r="C9386">
        <v>72</v>
      </c>
      <c r="D9386">
        <v>2800.5120000000002</v>
      </c>
    </row>
    <row r="9387" spans="1:4">
      <c r="A9387" t="str">
        <f>"E6210-9Y126"</f>
        <v>E6210-9Y126</v>
      </c>
      <c r="B9387" t="str">
        <f t="shared" si="186"/>
        <v>Амортизатор подвески</v>
      </c>
      <c r="C9387">
        <v>27</v>
      </c>
      <c r="D9387">
        <v>3374.9760000000001</v>
      </c>
    </row>
    <row r="9388" spans="1:4">
      <c r="A9388" t="str">
        <f>"E6210-BH01A"</f>
        <v>E6210-BH01A</v>
      </c>
      <c r="B9388" t="str">
        <f t="shared" si="186"/>
        <v>Амортизатор подвески</v>
      </c>
      <c r="C9388">
        <v>0</v>
      </c>
      <c r="D9388">
        <v>2556.5279999999998</v>
      </c>
    </row>
    <row r="9389" spans="1:4">
      <c r="A9389" t="str">
        <f>"E6210-CB025"</f>
        <v>E6210-CB025</v>
      </c>
      <c r="B9389" t="str">
        <f t="shared" si="186"/>
        <v>Амортизатор подвески</v>
      </c>
      <c r="C9389">
        <v>12</v>
      </c>
      <c r="D9389">
        <v>4408.848</v>
      </c>
    </row>
    <row r="9390" spans="1:4">
      <c r="A9390" t="str">
        <f>"E6210-CL00J"</f>
        <v>E6210-CL00J</v>
      </c>
      <c r="B9390" t="str">
        <f t="shared" si="186"/>
        <v>Амортизатор подвески</v>
      </c>
      <c r="C9390">
        <v>9</v>
      </c>
      <c r="D9390">
        <v>4737.6959999999999</v>
      </c>
    </row>
    <row r="9391" spans="1:4">
      <c r="A9391" t="str">
        <f>"E6210-EC80A"</f>
        <v>E6210-EC80A</v>
      </c>
      <c r="B9391" t="str">
        <f t="shared" si="186"/>
        <v>Амортизатор подвески</v>
      </c>
      <c r="C9391">
        <v>5</v>
      </c>
      <c r="D9391">
        <v>2017.56</v>
      </c>
    </row>
    <row r="9392" spans="1:4">
      <c r="A9392" t="str">
        <f>"E6210-EY11A"</f>
        <v>E6210-EY11A</v>
      </c>
      <c r="B9392" t="str">
        <f t="shared" si="186"/>
        <v>Амортизатор подвески</v>
      </c>
      <c r="C9392">
        <v>0</v>
      </c>
      <c r="D9392">
        <v>3115.4879999999998</v>
      </c>
    </row>
    <row r="9393" spans="1:4">
      <c r="A9393" t="str">
        <f>"E6210-JC41B"</f>
        <v>E6210-JC41B</v>
      </c>
      <c r="B9393" t="str">
        <f t="shared" si="186"/>
        <v>Амортизатор подвески</v>
      </c>
      <c r="C9393">
        <v>6</v>
      </c>
      <c r="D9393">
        <v>3797.2559999999999</v>
      </c>
    </row>
    <row r="9394" spans="1:4">
      <c r="A9394" t="str">
        <f>"E6210-JD74A"</f>
        <v>E6210-JD74A</v>
      </c>
      <c r="B9394" t="str">
        <f t="shared" si="186"/>
        <v>Амортизатор подвески</v>
      </c>
      <c r="C9394">
        <v>1</v>
      </c>
      <c r="D9394">
        <v>3096.72</v>
      </c>
    </row>
    <row r="9395" spans="1:4">
      <c r="A9395" t="str">
        <f>"E6210-JD75A"</f>
        <v>E6210-JD75A</v>
      </c>
      <c r="B9395" t="str">
        <f t="shared" si="186"/>
        <v>Амортизатор подвески</v>
      </c>
      <c r="C9395">
        <v>3</v>
      </c>
      <c r="D9395">
        <v>3096.72</v>
      </c>
    </row>
    <row r="9396" spans="1:4">
      <c r="A9396" t="str">
        <f>"E6210-JE21B"</f>
        <v>E6210-JE21B</v>
      </c>
      <c r="B9396" t="str">
        <f t="shared" si="186"/>
        <v>Амортизатор подвески</v>
      </c>
      <c r="C9396">
        <v>0</v>
      </c>
      <c r="D9396">
        <v>3080.4</v>
      </c>
    </row>
    <row r="9397" spans="1:4">
      <c r="A9397" t="str">
        <f>"E6210-JN00C"</f>
        <v>E6210-JN00C</v>
      </c>
      <c r="B9397" t="str">
        <f t="shared" si="186"/>
        <v>Амортизатор подвески</v>
      </c>
      <c r="C9397">
        <v>11</v>
      </c>
      <c r="D9397">
        <v>3520.6320000000001</v>
      </c>
    </row>
    <row r="9398" spans="1:4">
      <c r="A9398" t="str">
        <f>"E6210-JN90A"</f>
        <v>E6210-JN90A</v>
      </c>
      <c r="B9398" t="str">
        <f>"Амортизатор"</f>
        <v>Амортизатор</v>
      </c>
      <c r="C9398">
        <v>0</v>
      </c>
      <c r="D9398">
        <v>3929.8559999999998</v>
      </c>
    </row>
    <row r="9399" spans="1:4">
      <c r="A9399" t="str">
        <f>"E6A10-1CB0C"</f>
        <v>E6A10-1CB0C</v>
      </c>
      <c r="B9399" t="str">
        <f>"Амортизатор подвески"</f>
        <v>Амортизатор подвески</v>
      </c>
      <c r="C9399">
        <v>12</v>
      </c>
      <c r="D9399">
        <v>5589.192</v>
      </c>
    </row>
    <row r="9400" spans="1:4">
      <c r="A9400" t="str">
        <f>"E6A10-EG30A"</f>
        <v>E6A10-EG30A</v>
      </c>
      <c r="B9400" t="str">
        <f>"Амортизатор подвески"</f>
        <v>Амортизатор подвески</v>
      </c>
      <c r="C9400">
        <v>2</v>
      </c>
      <c r="D9400">
        <v>8293.8240000000005</v>
      </c>
    </row>
    <row r="9401" spans="1:4">
      <c r="A9401" t="str">
        <f>"E6A11-EG30A"</f>
        <v>E6A11-EG30A</v>
      </c>
      <c r="B9401" t="str">
        <f>"Амортизатор подвески"</f>
        <v>Амортизатор подвески</v>
      </c>
      <c r="C9401">
        <v>4</v>
      </c>
      <c r="D9401">
        <v>8326.0560000000005</v>
      </c>
    </row>
    <row r="9402" spans="1:4">
      <c r="A9402" t="str">
        <f>"F2022-4U341"</f>
        <v>F2022-4U341</v>
      </c>
      <c r="B9402" t="str">
        <f>"FASCIA KIT-FRON"</f>
        <v>FASCIA KIT-FRON</v>
      </c>
      <c r="C9402">
        <v>1</v>
      </c>
      <c r="D9402">
        <v>3267.672</v>
      </c>
    </row>
    <row r="9403" spans="1:4">
      <c r="A9403" t="str">
        <f>"F2022-5X1MH"</f>
        <v>F2022-5X1MH</v>
      </c>
      <c r="B9403" t="str">
        <f>"Бампер передний"</f>
        <v>Бампер передний</v>
      </c>
      <c r="C9403">
        <v>0</v>
      </c>
      <c r="D9403">
        <v>13764.287999999999</v>
      </c>
    </row>
    <row r="9404" spans="1:4">
      <c r="A9404" t="str">
        <f>"F2022-EB241"</f>
        <v>F2022-EB241</v>
      </c>
      <c r="B9404" t="str">
        <f>"Бампер передний"</f>
        <v>Бампер передний</v>
      </c>
      <c r="C9404">
        <v>2</v>
      </c>
      <c r="D9404">
        <v>19477.919999999998</v>
      </c>
    </row>
    <row r="9405" spans="1:4">
      <c r="A9405" t="str">
        <f>"F2022-EB340"</f>
        <v>F2022-EB340</v>
      </c>
      <c r="B9405" t="str">
        <f>"Бампер передний"</f>
        <v>Бампер передний</v>
      </c>
      <c r="C9405">
        <v>1</v>
      </c>
      <c r="D9405">
        <v>16775.328000000001</v>
      </c>
    </row>
    <row r="9406" spans="1:4">
      <c r="A9406" t="str">
        <f>"F2022-EB440"</f>
        <v>F2022-EB440</v>
      </c>
      <c r="B9406" t="str">
        <f>"REINFORCE-FRONT"</f>
        <v>REINFORCE-FRONT</v>
      </c>
      <c r="C9406">
        <v>0</v>
      </c>
      <c r="D9406">
        <v>15999.312</v>
      </c>
    </row>
    <row r="9407" spans="1:4">
      <c r="A9407" t="str">
        <f>"F2022-VD326"</f>
        <v>F2022-VD326</v>
      </c>
      <c r="B9407" t="str">
        <f>"Бампер передний"</f>
        <v>Бампер передний</v>
      </c>
      <c r="C9407">
        <v>2</v>
      </c>
      <c r="D9407">
        <v>11697.359999999999</v>
      </c>
    </row>
    <row r="9408" spans="1:4">
      <c r="A9408" t="str">
        <f>"F2022-VK525"</f>
        <v>F2022-VK525</v>
      </c>
      <c r="B9408" t="str">
        <f>"Бампер передний"</f>
        <v>Бампер передний</v>
      </c>
      <c r="C9408">
        <v>2</v>
      </c>
      <c r="D9408">
        <v>12155.136</v>
      </c>
    </row>
    <row r="9409" spans="1:4">
      <c r="A9409" t="str">
        <f>"F2022-VS52J"</f>
        <v>F2022-VS52J</v>
      </c>
      <c r="B9409" t="str">
        <f>"Бампер передний"</f>
        <v>Бампер передний</v>
      </c>
      <c r="C9409">
        <v>3</v>
      </c>
      <c r="D9409">
        <v>10293.84</v>
      </c>
    </row>
    <row r="9410" spans="1:4">
      <c r="A9410" t="str">
        <f>"F2025-0W486"</f>
        <v>F2025-0W486</v>
      </c>
      <c r="B9410" t="str">
        <f>"BUMPER-FR,CTR L"</f>
        <v>BUMPER-FR,CTR L</v>
      </c>
      <c r="C9410">
        <v>1</v>
      </c>
      <c r="D9410">
        <v>3072.24</v>
      </c>
    </row>
    <row r="9411" spans="1:4">
      <c r="A9411" t="str">
        <f>"F2030-EM0MA"</f>
        <v>F2030-EM0MA</v>
      </c>
      <c r="B9411" t="str">
        <f>"Усилитель бампера ве"</f>
        <v>Усилитель бампера ве</v>
      </c>
      <c r="C9411">
        <v>1</v>
      </c>
      <c r="D9411">
        <v>4731.9840000000004</v>
      </c>
    </row>
    <row r="9412" spans="1:4">
      <c r="A9412" t="str">
        <f>"F2030-EM0MB"</f>
        <v>F2030-EM0MB</v>
      </c>
      <c r="B9412" t="str">
        <f>"Усилитель бампера ни"</f>
        <v>Усилитель бампера ни</v>
      </c>
      <c r="C9412">
        <v>2</v>
      </c>
      <c r="D9412">
        <v>5080.8240000000005</v>
      </c>
    </row>
    <row r="9413" spans="1:4">
      <c r="A9413" t="str">
        <f>"F2032-1KADH"</f>
        <v>F2032-1KADH</v>
      </c>
      <c r="B9413" t="str">
        <f>"Усилитель бампер"</f>
        <v>Усилитель бампер</v>
      </c>
      <c r="C9413">
        <v>0</v>
      </c>
      <c r="D9413">
        <v>5119.1759999999995</v>
      </c>
    </row>
    <row r="9414" spans="1:4">
      <c r="A9414" t="str">
        <f>"F2500-5X0MA"</f>
        <v>F2500-5X0MA</v>
      </c>
      <c r="B9414" t="str">
        <f>"Передняя панель кузо"</f>
        <v>Передняя панель кузо</v>
      </c>
      <c r="C9414">
        <v>0</v>
      </c>
      <c r="D9414">
        <v>15895.271999999999</v>
      </c>
    </row>
    <row r="9415" spans="1:4">
      <c r="A9415" t="str">
        <f>"F2510-JD0MB"</f>
        <v>F2510-JD0MB</v>
      </c>
      <c r="B9415" t="str">
        <f t="shared" ref="B9415:B9422" si="187">"Кронштейн радиат"</f>
        <v>Кронштейн радиат</v>
      </c>
      <c r="C9415">
        <v>2</v>
      </c>
      <c r="D9415">
        <v>5157.12</v>
      </c>
    </row>
    <row r="9416" spans="1:4">
      <c r="A9416" t="str">
        <f>"F2511-9U0M0"</f>
        <v>F2511-9U0M0</v>
      </c>
      <c r="B9416" t="str">
        <f t="shared" si="187"/>
        <v>Кронштейн радиат</v>
      </c>
      <c r="C9416">
        <v>17</v>
      </c>
      <c r="D9416">
        <v>5768.7120000000004</v>
      </c>
    </row>
    <row r="9417" spans="1:4">
      <c r="A9417" t="str">
        <f>"F2520-9U0M0"</f>
        <v>F2520-9U0M0</v>
      </c>
      <c r="B9417" t="str">
        <f t="shared" si="187"/>
        <v>Кронштейн радиат</v>
      </c>
      <c r="C9417">
        <v>6</v>
      </c>
      <c r="D9417">
        <v>1382.3040000000001</v>
      </c>
    </row>
    <row r="9418" spans="1:4">
      <c r="A9418" t="str">
        <f>"F2520-EL0MA"</f>
        <v>F2520-EL0MA</v>
      </c>
      <c r="B9418" t="str">
        <f t="shared" si="187"/>
        <v>Кронштейн радиат</v>
      </c>
      <c r="C9418">
        <v>6</v>
      </c>
      <c r="D9418">
        <v>913.51199999999994</v>
      </c>
    </row>
    <row r="9419" spans="1:4">
      <c r="A9419" t="str">
        <f>"F2521-9U0M0"</f>
        <v>F2521-9U0M0</v>
      </c>
      <c r="B9419" t="str">
        <f t="shared" si="187"/>
        <v>Кронштейн радиат</v>
      </c>
      <c r="C9419">
        <v>8</v>
      </c>
      <c r="D9419">
        <v>1490.8319999999999</v>
      </c>
    </row>
    <row r="9420" spans="1:4">
      <c r="A9420" t="str">
        <f>"F2521-EM0MA"</f>
        <v>F2521-EM0MA</v>
      </c>
      <c r="B9420" t="str">
        <f t="shared" si="187"/>
        <v>Кронштейн радиат</v>
      </c>
      <c r="C9420">
        <v>3</v>
      </c>
      <c r="D9420">
        <v>808.24799999999993</v>
      </c>
    </row>
    <row r="9421" spans="1:4">
      <c r="A9421" t="str">
        <f>"F2522-JD0MA"</f>
        <v>F2522-JD0MA</v>
      </c>
      <c r="B9421" t="str">
        <f t="shared" si="187"/>
        <v>Кронштейн радиат</v>
      </c>
      <c r="C9421">
        <v>0</v>
      </c>
      <c r="D9421">
        <v>1991.04</v>
      </c>
    </row>
    <row r="9422" spans="1:4">
      <c r="A9422" t="str">
        <f>"F2550-9U0MA"</f>
        <v>F2550-9U0MA</v>
      </c>
      <c r="B9422" t="str">
        <f t="shared" si="187"/>
        <v>Кронштейн радиат</v>
      </c>
      <c r="C9422">
        <v>12</v>
      </c>
      <c r="D9422">
        <v>1357.0079999999998</v>
      </c>
    </row>
    <row r="9423" spans="1:4">
      <c r="A9423" t="str">
        <f>"F2550-EM0MA"</f>
        <v>F2550-EM0MA</v>
      </c>
      <c r="B9423" t="str">
        <f>"Стойка замка кап"</f>
        <v>Стойка замка кап</v>
      </c>
      <c r="C9423">
        <v>3</v>
      </c>
      <c r="D9423">
        <v>1610.376</v>
      </c>
    </row>
    <row r="9424" spans="1:4">
      <c r="A9424" t="str">
        <f>"F2560-9U0M0"</f>
        <v>F2560-9U0M0</v>
      </c>
      <c r="B9424" t="str">
        <f>"Кронштейн радиат"</f>
        <v>Кронштейн радиат</v>
      </c>
      <c r="C9424">
        <v>7</v>
      </c>
      <c r="D9424">
        <v>632.80799999999999</v>
      </c>
    </row>
    <row r="9425" spans="1:4">
      <c r="A9425" t="str">
        <f>"F2561-9U0M0"</f>
        <v>F2561-9U0M0</v>
      </c>
      <c r="B9425" t="str">
        <f>"Кронштейн фары"</f>
        <v>Кронштейн фары</v>
      </c>
      <c r="C9425">
        <v>7</v>
      </c>
      <c r="D9425">
        <v>612.81600000000003</v>
      </c>
    </row>
    <row r="9426" spans="1:4">
      <c r="A9426" t="str">
        <f>"F2M22-3Y625"</f>
        <v>F2M22-3Y625</v>
      </c>
      <c r="B9426" t="str">
        <f t="shared" ref="B9426:B9436" si="188">"Бампер передний"</f>
        <v>Бампер передний</v>
      </c>
      <c r="C9426">
        <v>6</v>
      </c>
      <c r="D9426">
        <v>14298.767999999998</v>
      </c>
    </row>
    <row r="9427" spans="1:4">
      <c r="A9427" t="str">
        <f>"F2M22-8H625"</f>
        <v>F2M22-8H625</v>
      </c>
      <c r="B9427" t="str">
        <f t="shared" si="188"/>
        <v>Бампер передний</v>
      </c>
      <c r="C9427">
        <v>2</v>
      </c>
      <c r="D9427">
        <v>10198.367999999999</v>
      </c>
    </row>
    <row r="9428" spans="1:4">
      <c r="A9428" t="str">
        <f>"F2M22-8H725"</f>
        <v>F2M22-8H725</v>
      </c>
      <c r="B9428" t="str">
        <f t="shared" si="188"/>
        <v>Бампер передний</v>
      </c>
      <c r="C9428">
        <v>2</v>
      </c>
      <c r="D9428">
        <v>6559.4160000000002</v>
      </c>
    </row>
    <row r="9429" spans="1:4">
      <c r="A9429" t="str">
        <f>"F2M22-9W60J"</f>
        <v>F2M22-9W60J</v>
      </c>
      <c r="B9429" t="str">
        <f t="shared" si="188"/>
        <v>Бампер передний</v>
      </c>
      <c r="C9429">
        <v>6</v>
      </c>
      <c r="D9429">
        <v>10714.895999999999</v>
      </c>
    </row>
    <row r="9430" spans="1:4">
      <c r="A9430" t="str">
        <f>"F2M22-CC025"</f>
        <v>F2M22-CC025</v>
      </c>
      <c r="B9430" t="str">
        <f t="shared" si="188"/>
        <v>Бампер передний</v>
      </c>
      <c r="C9430">
        <v>3</v>
      </c>
      <c r="D9430">
        <v>13476.24</v>
      </c>
    </row>
    <row r="9431" spans="1:4">
      <c r="A9431" t="str">
        <f>"F2M22-CG040"</f>
        <v>F2M22-CG040</v>
      </c>
      <c r="B9431" t="str">
        <f t="shared" si="188"/>
        <v>Бампер передний</v>
      </c>
      <c r="C9431">
        <v>10</v>
      </c>
      <c r="D9431">
        <v>13062.936</v>
      </c>
    </row>
    <row r="9432" spans="1:4">
      <c r="A9432" t="str">
        <f>"F2M22-CL70J"</f>
        <v>F2M22-CL70J</v>
      </c>
      <c r="B9432" t="str">
        <f t="shared" si="188"/>
        <v>Бампер передний</v>
      </c>
      <c r="C9432">
        <v>5</v>
      </c>
      <c r="D9432">
        <v>14627.616</v>
      </c>
    </row>
    <row r="9433" spans="1:4">
      <c r="A9433" t="str">
        <f>"F2M22-CM80J"</f>
        <v>F2M22-CM80J</v>
      </c>
      <c r="B9433" t="str">
        <f t="shared" si="188"/>
        <v>Бампер передний</v>
      </c>
      <c r="C9433">
        <v>2</v>
      </c>
      <c r="D9433">
        <v>12961.344000000001</v>
      </c>
    </row>
    <row r="9434" spans="1:4">
      <c r="A9434" t="str">
        <f>"F2M22-EJ20J"</f>
        <v>F2M22-EJ20J</v>
      </c>
      <c r="B9434" t="str">
        <f t="shared" si="188"/>
        <v>Бампер передний</v>
      </c>
      <c r="C9434">
        <v>7</v>
      </c>
      <c r="D9434">
        <v>18857.759999999998</v>
      </c>
    </row>
    <row r="9435" spans="1:4">
      <c r="A9435" t="str">
        <f>"F2M22-EQ025"</f>
        <v>F2M22-EQ025</v>
      </c>
      <c r="B9435" t="str">
        <f t="shared" si="188"/>
        <v>Бампер передний</v>
      </c>
      <c r="C9435">
        <v>0</v>
      </c>
      <c r="D9435">
        <v>9417.4560000000001</v>
      </c>
    </row>
    <row r="9436" spans="1:4">
      <c r="A9436" t="str">
        <f>"F2M22-EQ325"</f>
        <v>F2M22-EQ325</v>
      </c>
      <c r="B9436" t="str">
        <f t="shared" si="188"/>
        <v>Бампер передний</v>
      </c>
      <c r="C9436">
        <v>2</v>
      </c>
      <c r="D9436">
        <v>9724.2720000000008</v>
      </c>
    </row>
    <row r="9437" spans="1:4">
      <c r="A9437" t="str">
        <f>"F3100-1AAMB"</f>
        <v>F3100-1AAMB</v>
      </c>
      <c r="B9437" t="str">
        <f t="shared" ref="B9437:B9450" si="189">"Крыло переднее право"</f>
        <v>Крыло переднее право</v>
      </c>
      <c r="C9437">
        <v>1</v>
      </c>
      <c r="D9437">
        <v>8253.4319999999989</v>
      </c>
    </row>
    <row r="9438" spans="1:4">
      <c r="A9438" t="str">
        <f>"F3100-1BAAA"</f>
        <v>F3100-1BAAA</v>
      </c>
      <c r="B9438" t="str">
        <f t="shared" si="189"/>
        <v>Крыло переднее право</v>
      </c>
      <c r="C9438">
        <v>1</v>
      </c>
      <c r="D9438">
        <v>5580.2160000000003</v>
      </c>
    </row>
    <row r="9439" spans="1:4">
      <c r="A9439" t="str">
        <f>"F3100-1CAAA"</f>
        <v>F3100-1CAAA</v>
      </c>
      <c r="B9439" t="str">
        <f t="shared" si="189"/>
        <v>Крыло переднее право</v>
      </c>
      <c r="C9439">
        <v>0</v>
      </c>
      <c r="D9439">
        <v>9865.44</v>
      </c>
    </row>
    <row r="9440" spans="1:4">
      <c r="A9440" t="str">
        <f>"F3100-4X0MA"</f>
        <v>F3100-4X0MA</v>
      </c>
      <c r="B9440" t="str">
        <f t="shared" si="189"/>
        <v>Крыло переднее право</v>
      </c>
      <c r="C9440">
        <v>0</v>
      </c>
      <c r="D9440">
        <v>8982.5279999999984</v>
      </c>
    </row>
    <row r="9441" spans="1:4">
      <c r="A9441" t="str">
        <f>"F3100-BR0MA"</f>
        <v>F3100-BR0MA</v>
      </c>
      <c r="B9441" t="str">
        <f t="shared" si="189"/>
        <v>Крыло переднее право</v>
      </c>
      <c r="C9441">
        <v>1</v>
      </c>
      <c r="D9441">
        <v>4761.768</v>
      </c>
    </row>
    <row r="9442" spans="1:4">
      <c r="A9442" t="str">
        <f>"F3100-EH1MA"</f>
        <v>F3100-EH1MA</v>
      </c>
      <c r="B9442" t="str">
        <f t="shared" si="189"/>
        <v>Крыло переднее право</v>
      </c>
      <c r="C9442">
        <v>2</v>
      </c>
      <c r="D9442">
        <v>10769.567999999999</v>
      </c>
    </row>
    <row r="9443" spans="1:4">
      <c r="A9443" t="str">
        <f>"F3100-EJ7MA"</f>
        <v>F3100-EJ7MA</v>
      </c>
      <c r="B9443" t="str">
        <f t="shared" si="189"/>
        <v>Крыло переднее право</v>
      </c>
      <c r="C9443">
        <v>1</v>
      </c>
      <c r="D9443">
        <v>10782.216</v>
      </c>
    </row>
    <row r="9444" spans="1:4">
      <c r="A9444" t="str">
        <f>"F3100-JD0M0"</f>
        <v>F3100-JD0M0</v>
      </c>
      <c r="B9444" t="str">
        <f t="shared" si="189"/>
        <v>Крыло переднее право</v>
      </c>
      <c r="C9444">
        <v>3</v>
      </c>
      <c r="D9444">
        <v>4761.768</v>
      </c>
    </row>
    <row r="9445" spans="1:4">
      <c r="A9445" t="str">
        <f>"F3100-JG0EA"</f>
        <v>F3100-JG0EA</v>
      </c>
      <c r="B9445" t="str">
        <f t="shared" si="189"/>
        <v>Крыло переднее право</v>
      </c>
      <c r="C9445">
        <v>12</v>
      </c>
      <c r="D9445">
        <v>8384.8079999999991</v>
      </c>
    </row>
    <row r="9446" spans="1:4">
      <c r="A9446" t="str">
        <f>"F3100-JK0BA"</f>
        <v>F3100-JK0BA</v>
      </c>
      <c r="B9446" t="str">
        <f t="shared" si="189"/>
        <v>Крыло переднее право</v>
      </c>
      <c r="C9446">
        <v>5</v>
      </c>
      <c r="D9446">
        <v>8776.08</v>
      </c>
    </row>
    <row r="9447" spans="1:4">
      <c r="A9447" t="str">
        <f>"F3100-JN2MA"</f>
        <v>F3100-JN2MA</v>
      </c>
      <c r="B9447" t="str">
        <f t="shared" si="189"/>
        <v>Крыло переднее право</v>
      </c>
      <c r="C9447">
        <v>0</v>
      </c>
      <c r="D9447">
        <v>8211.8160000000007</v>
      </c>
    </row>
    <row r="9448" spans="1:4">
      <c r="A9448" t="str">
        <f>"F3100-ZQ1MA"</f>
        <v>F3100-ZQ1MA</v>
      </c>
      <c r="B9448" t="str">
        <f t="shared" si="189"/>
        <v>Крыло переднее право</v>
      </c>
      <c r="C9448">
        <v>1</v>
      </c>
      <c r="D9448">
        <v>10861.367999999999</v>
      </c>
    </row>
    <row r="9449" spans="1:4">
      <c r="A9449" t="str">
        <f>"F3100-ZQ5MA"</f>
        <v>F3100-ZQ5MA</v>
      </c>
      <c r="B9449" t="str">
        <f t="shared" si="189"/>
        <v>Крыло переднее право</v>
      </c>
      <c r="C9449">
        <v>1</v>
      </c>
      <c r="D9449">
        <v>12973.583999999999</v>
      </c>
    </row>
    <row r="9450" spans="1:4">
      <c r="A9450" t="str">
        <f>"F3100-ZW5MA"</f>
        <v>F3100-ZW5MA</v>
      </c>
      <c r="B9450" t="str">
        <f t="shared" si="189"/>
        <v>Крыло переднее право</v>
      </c>
      <c r="C9450">
        <v>0</v>
      </c>
      <c r="D9450">
        <v>4761.768</v>
      </c>
    </row>
    <row r="9451" spans="1:4">
      <c r="A9451" t="str">
        <f>"F3101-1AAMB"</f>
        <v>F3101-1AAMB</v>
      </c>
      <c r="B9451" t="str">
        <f t="shared" ref="B9451:B9463" si="190">"Крыло переднее левое"</f>
        <v>Крыло переднее левое</v>
      </c>
      <c r="C9451">
        <v>1</v>
      </c>
      <c r="D9451">
        <v>8253.4319999999989</v>
      </c>
    </row>
    <row r="9452" spans="1:4">
      <c r="A9452" t="str">
        <f>"F3101-1CAAA"</f>
        <v>F3101-1CAAA</v>
      </c>
      <c r="B9452" t="str">
        <f t="shared" si="190"/>
        <v>Крыло переднее левое</v>
      </c>
      <c r="C9452">
        <v>0</v>
      </c>
      <c r="D9452">
        <v>10330.56</v>
      </c>
    </row>
    <row r="9453" spans="1:4">
      <c r="A9453" t="str">
        <f>"F3101-4X0MA"</f>
        <v>F3101-4X0MA</v>
      </c>
      <c r="B9453" t="str">
        <f t="shared" si="190"/>
        <v>Крыло переднее левое</v>
      </c>
      <c r="C9453">
        <v>1</v>
      </c>
      <c r="D9453">
        <v>10474.992</v>
      </c>
    </row>
    <row r="9454" spans="1:4">
      <c r="A9454" t="str">
        <f>"F3101-BR0MA"</f>
        <v>F3101-BR0MA</v>
      </c>
      <c r="B9454" t="str">
        <f t="shared" si="190"/>
        <v>Крыло переднее левое</v>
      </c>
      <c r="C9454">
        <v>2</v>
      </c>
      <c r="D9454">
        <v>4761.768</v>
      </c>
    </row>
    <row r="9455" spans="1:4">
      <c r="A9455" t="str">
        <f>"F3101-EH1MA"</f>
        <v>F3101-EH1MA</v>
      </c>
      <c r="B9455" t="str">
        <f t="shared" si="190"/>
        <v>Крыло переднее левое</v>
      </c>
      <c r="C9455">
        <v>5</v>
      </c>
      <c r="D9455">
        <v>10600.655999999999</v>
      </c>
    </row>
    <row r="9456" spans="1:4">
      <c r="A9456" t="str">
        <f>"F3101-EJ7MA"</f>
        <v>F3101-EJ7MA</v>
      </c>
      <c r="B9456" t="str">
        <f t="shared" si="190"/>
        <v>Крыло переднее левое</v>
      </c>
      <c r="C9456">
        <v>1</v>
      </c>
      <c r="D9456">
        <v>10569.24</v>
      </c>
    </row>
    <row r="9457" spans="1:4">
      <c r="A9457" t="str">
        <f>"F3101-JD0M0"</f>
        <v>F3101-JD0M0</v>
      </c>
      <c r="B9457" t="str">
        <f t="shared" si="190"/>
        <v>Крыло переднее левое</v>
      </c>
      <c r="C9457">
        <v>2</v>
      </c>
      <c r="D9457">
        <v>4761.768</v>
      </c>
    </row>
    <row r="9458" spans="1:4">
      <c r="A9458" t="str">
        <f>"F3101-JH1EA"</f>
        <v>F3101-JH1EA</v>
      </c>
      <c r="B9458" t="str">
        <f t="shared" si="190"/>
        <v>Крыло переднее левое</v>
      </c>
      <c r="C9458">
        <v>4</v>
      </c>
      <c r="D9458">
        <v>7767.5039999999999</v>
      </c>
    </row>
    <row r="9459" spans="1:4">
      <c r="A9459" t="str">
        <f>"F3101-JK0BA"</f>
        <v>F3101-JK0BA</v>
      </c>
      <c r="B9459" t="str">
        <f t="shared" si="190"/>
        <v>Крыло переднее левое</v>
      </c>
      <c r="C9459">
        <v>4</v>
      </c>
      <c r="D9459">
        <v>8739.768</v>
      </c>
    </row>
    <row r="9460" spans="1:4">
      <c r="A9460" t="str">
        <f>"F3101-JN2MA"</f>
        <v>F3101-JN2MA</v>
      </c>
      <c r="B9460" t="str">
        <f t="shared" si="190"/>
        <v>Крыло переднее левое</v>
      </c>
      <c r="C9460">
        <v>2</v>
      </c>
      <c r="D9460">
        <v>8258.735999999999</v>
      </c>
    </row>
    <row r="9461" spans="1:4">
      <c r="A9461" t="str">
        <f>"F3101-ZQ1MA"</f>
        <v>F3101-ZQ1MA</v>
      </c>
      <c r="B9461" t="str">
        <f t="shared" si="190"/>
        <v>Крыло переднее левое</v>
      </c>
      <c r="C9461">
        <v>3</v>
      </c>
      <c r="D9461">
        <v>11674.103999999999</v>
      </c>
    </row>
    <row r="9462" spans="1:4">
      <c r="A9462" t="str">
        <f>"F3101-ZQ5MA"</f>
        <v>F3101-ZQ5MA</v>
      </c>
      <c r="B9462" t="str">
        <f t="shared" si="190"/>
        <v>Крыло переднее левое</v>
      </c>
      <c r="C9462">
        <v>1</v>
      </c>
      <c r="D9462">
        <v>12092.712</v>
      </c>
    </row>
    <row r="9463" spans="1:4">
      <c r="A9463" t="str">
        <f>"F3101-ZW5MA"</f>
        <v>F3101-ZW5MA</v>
      </c>
      <c r="B9463" t="str">
        <f t="shared" si="190"/>
        <v>Крыло переднее левое</v>
      </c>
      <c r="C9463">
        <v>2</v>
      </c>
      <c r="D9463">
        <v>4761.768</v>
      </c>
    </row>
    <row r="9464" spans="1:4">
      <c r="A9464" t="str">
        <f>"F3112-9U0MA"</f>
        <v>F3112-9U0MA</v>
      </c>
      <c r="B9464" t="str">
        <f>"Крыло переднее право"</f>
        <v>Крыло переднее право</v>
      </c>
      <c r="C9464">
        <v>1</v>
      </c>
      <c r="D9464">
        <v>5092.6559999999999</v>
      </c>
    </row>
    <row r="9465" spans="1:4">
      <c r="A9465" t="str">
        <f>"F3113-9U0MA"</f>
        <v>F3113-9U0MA</v>
      </c>
      <c r="B9465" t="str">
        <f>"Крыло переднее левое"</f>
        <v>Крыло переднее левое</v>
      </c>
      <c r="C9465">
        <v>1</v>
      </c>
      <c r="D9465">
        <v>5092.6559999999999</v>
      </c>
    </row>
    <row r="9466" spans="1:4">
      <c r="A9466" t="str">
        <f>"F3144-9U0M0"</f>
        <v>F3144-9U0M0</v>
      </c>
      <c r="B9466" t="str">
        <f>"Кронштейн крыла"</f>
        <v>Кронштейн крыла</v>
      </c>
      <c r="C9466">
        <v>0</v>
      </c>
      <c r="D9466">
        <v>988.17599999999993</v>
      </c>
    </row>
    <row r="9467" spans="1:4">
      <c r="A9467" t="str">
        <f>"F3145-9U0M0"</f>
        <v>F3145-9U0M0</v>
      </c>
      <c r="B9467" t="str">
        <f>"КРОНШТЕЙН"</f>
        <v>КРОНШТЕЙН</v>
      </c>
      <c r="C9467">
        <v>0</v>
      </c>
      <c r="D9467">
        <v>995.52</v>
      </c>
    </row>
    <row r="9468" spans="1:4">
      <c r="A9468" t="str">
        <f>"F3850-EM100"</f>
        <v>F3850-EM100</v>
      </c>
      <c r="B9468" t="str">
        <f>"Брызговики передние "</f>
        <v xml:space="preserve">Брызговики передние </v>
      </c>
      <c r="C9468">
        <v>24</v>
      </c>
      <c r="D9468">
        <v>1632.816</v>
      </c>
    </row>
    <row r="9469" spans="1:4">
      <c r="A9469" t="str">
        <f>"F3854-8H325"</f>
        <v>F3854-8H325</v>
      </c>
      <c r="B9469" t="str">
        <f>"Брызговик передний п"</f>
        <v>Брызговик передний п</v>
      </c>
      <c r="C9469">
        <v>3</v>
      </c>
      <c r="D9469">
        <v>759.28800000000001</v>
      </c>
    </row>
    <row r="9470" spans="1:4">
      <c r="A9470" t="str">
        <f>"F3855-8H325"</f>
        <v>F3855-8H325</v>
      </c>
      <c r="B9470" t="str">
        <f>"Брызговик передний л"</f>
        <v>Брызговик передний л</v>
      </c>
      <c r="C9470">
        <v>0</v>
      </c>
      <c r="D9470">
        <v>761.73599999999999</v>
      </c>
    </row>
    <row r="9471" spans="1:4">
      <c r="A9471" t="str">
        <f>"F38E0-9W79B"</f>
        <v>F38E0-9W79B</v>
      </c>
      <c r="B9471" t="str">
        <f>"Брызговик передний п"</f>
        <v>Брызговик передний п</v>
      </c>
      <c r="C9471">
        <v>1</v>
      </c>
      <c r="D9471">
        <v>3346.0080000000003</v>
      </c>
    </row>
    <row r="9472" spans="1:4">
      <c r="A9472" t="str">
        <f>"F38E0-JN90A"</f>
        <v>F38E0-JN90A</v>
      </c>
      <c r="B9472" t="str">
        <f>"Брызговики J32 пласт"</f>
        <v>Брызговики J32 пласт</v>
      </c>
      <c r="C9472">
        <v>41</v>
      </c>
      <c r="D9472">
        <v>3354.576</v>
      </c>
    </row>
    <row r="9473" spans="1:4">
      <c r="A9473" t="str">
        <f>"F3H50-VB085"</f>
        <v>F3H50-VB085</v>
      </c>
      <c r="B9473" t="str">
        <f>"Брызговик передний п"</f>
        <v>Брызговик передний п</v>
      </c>
      <c r="C9473">
        <v>1</v>
      </c>
      <c r="D9473">
        <v>3004.5120000000002</v>
      </c>
    </row>
    <row r="9474" spans="1:4">
      <c r="A9474" t="str">
        <f>"F3H51-VB085"</f>
        <v>F3H51-VB085</v>
      </c>
      <c r="B9474" t="str">
        <f>"Брызговик передний л"</f>
        <v>Брызговик передний л</v>
      </c>
      <c r="C9474">
        <v>1</v>
      </c>
      <c r="D9474">
        <v>2955.96</v>
      </c>
    </row>
    <row r="9475" spans="1:4">
      <c r="A9475" t="str">
        <f>"F4101-3X7MB"</f>
        <v>F4101-3X7MB</v>
      </c>
      <c r="B9475" t="str">
        <f>"Панель кузова"</f>
        <v>Панель кузова</v>
      </c>
      <c r="C9475">
        <v>3</v>
      </c>
      <c r="D9475">
        <v>16600.295999999998</v>
      </c>
    </row>
    <row r="9476" spans="1:4">
      <c r="A9476" t="str">
        <f>"F4180-9U0M0"</f>
        <v>F4180-9U0M0</v>
      </c>
      <c r="B9476" t="str">
        <f>"Панель кузова"</f>
        <v>Панель кузова</v>
      </c>
      <c r="C9476">
        <v>5</v>
      </c>
      <c r="D9476">
        <v>5109.7919999999995</v>
      </c>
    </row>
    <row r="9477" spans="1:4">
      <c r="A9477" t="str">
        <f>"F4190-9U0MA"</f>
        <v>F4190-9U0MA</v>
      </c>
      <c r="B9477" t="str">
        <f>"Кронштейн кузовной п"</f>
        <v>Кронштейн кузовной п</v>
      </c>
      <c r="C9477">
        <v>0</v>
      </c>
      <c r="D9477">
        <v>963.69600000000003</v>
      </c>
    </row>
    <row r="9478" spans="1:4">
      <c r="A9478" t="str">
        <f>"F5100-5Y8CM"</f>
        <v>F5100-5Y8CM</v>
      </c>
      <c r="B9478" t="str">
        <f>"HOOD"</f>
        <v>HOOD</v>
      </c>
      <c r="C9478">
        <v>2</v>
      </c>
      <c r="D9478">
        <v>8654.0879999999997</v>
      </c>
    </row>
    <row r="9479" spans="1:4">
      <c r="A9479" t="str">
        <f>"F5100-8H3MM"</f>
        <v>F5100-8H3MM</v>
      </c>
      <c r="B9479" t="str">
        <f>"HOOD"</f>
        <v>HOOD</v>
      </c>
      <c r="C9479">
        <v>0</v>
      </c>
      <c r="D9479">
        <v>9231</v>
      </c>
    </row>
    <row r="9480" spans="1:4">
      <c r="A9480" t="str">
        <f>"F5100-9U0M0"</f>
        <v>F5100-9U0M0</v>
      </c>
      <c r="B9480" t="str">
        <f>"Капот"</f>
        <v>Капот</v>
      </c>
      <c r="C9480">
        <v>2</v>
      </c>
      <c r="D9480">
        <v>8365.6319999999996</v>
      </c>
    </row>
    <row r="9481" spans="1:4">
      <c r="A9481" t="str">
        <f>"F5100-AX6MA"</f>
        <v>F5100-AX6MA</v>
      </c>
      <c r="B9481" t="str">
        <f>"Капот"</f>
        <v>Капот</v>
      </c>
      <c r="C9481">
        <v>2</v>
      </c>
      <c r="D9481">
        <v>8077.1759999999995</v>
      </c>
    </row>
    <row r="9482" spans="1:4">
      <c r="A9482" t="str">
        <f>"F5100-BH0MA"</f>
        <v>F5100-BH0MA</v>
      </c>
      <c r="B9482" t="str">
        <f>"Капот"</f>
        <v>Капот</v>
      </c>
      <c r="C9482">
        <v>2</v>
      </c>
      <c r="D9482">
        <v>8365.6319999999996</v>
      </c>
    </row>
    <row r="9483" spans="1:4">
      <c r="A9483" t="str">
        <f>"F5100-BR0MC"</f>
        <v>F5100-BR0MC</v>
      </c>
      <c r="B9483" t="str">
        <f>"Капот"</f>
        <v>Капот</v>
      </c>
      <c r="C9483">
        <v>2</v>
      </c>
      <c r="D9483">
        <v>9807.503999999999</v>
      </c>
    </row>
    <row r="9484" spans="1:4">
      <c r="A9484" t="str">
        <f>"F5100-CG0MM"</f>
        <v>F5100-CG0MM</v>
      </c>
      <c r="B9484" t="str">
        <f>"HOOD"</f>
        <v>HOOD</v>
      </c>
      <c r="C9484">
        <v>4</v>
      </c>
      <c r="D9484">
        <v>14168.208000000001</v>
      </c>
    </row>
    <row r="9485" spans="1:4">
      <c r="A9485" t="str">
        <f>"F5100-EB3MA"</f>
        <v>F5100-EB3MA</v>
      </c>
      <c r="B9485" t="str">
        <f>"Капот"</f>
        <v>Капот</v>
      </c>
      <c r="C9485">
        <v>2</v>
      </c>
      <c r="D9485">
        <v>9807.503999999999</v>
      </c>
    </row>
    <row r="9486" spans="1:4">
      <c r="A9486" t="str">
        <f>"F5100-EG0MM"</f>
        <v>F5100-EG0MM</v>
      </c>
      <c r="B9486" t="str">
        <f>"Капот"</f>
        <v>Капот</v>
      </c>
      <c r="C9486">
        <v>9</v>
      </c>
      <c r="D9486">
        <v>20670.503999999997</v>
      </c>
    </row>
    <row r="9487" spans="1:4">
      <c r="A9487" t="str">
        <f>"F5100-JD0MB"</f>
        <v>F5100-JD0MB</v>
      </c>
      <c r="B9487" t="str">
        <f>"Капот"</f>
        <v>Капот</v>
      </c>
      <c r="C9487">
        <v>3</v>
      </c>
      <c r="D9487">
        <v>9807.503999999999</v>
      </c>
    </row>
    <row r="9488" spans="1:4">
      <c r="A9488" t="str">
        <f>"F5100-JG0MM"</f>
        <v>F5100-JG0MM</v>
      </c>
      <c r="B9488" t="str">
        <f>"Капот"</f>
        <v>Капот</v>
      </c>
      <c r="C9488">
        <v>2</v>
      </c>
      <c r="D9488">
        <v>9231</v>
      </c>
    </row>
    <row r="9489" spans="1:4">
      <c r="A9489" t="str">
        <f>"F5100-VC1AM"</f>
        <v>F5100-VC1AM</v>
      </c>
      <c r="B9489" t="str">
        <f>"HOOD"</f>
        <v>HOOD</v>
      </c>
      <c r="C9489">
        <v>1</v>
      </c>
      <c r="D9489">
        <v>10385.232</v>
      </c>
    </row>
    <row r="9490" spans="1:4">
      <c r="A9490" t="str">
        <f>"F510M-1AAMA"</f>
        <v>F510M-1AAMA</v>
      </c>
      <c r="B9490" t="str">
        <f t="shared" ref="B9490:B9496" si="191">"Капот"</f>
        <v>Капот</v>
      </c>
      <c r="C9490">
        <v>1</v>
      </c>
      <c r="D9490">
        <v>10385.232</v>
      </c>
    </row>
    <row r="9491" spans="1:4">
      <c r="A9491" t="str">
        <f>"F510M-1BAMA"</f>
        <v>F510M-1BAMA</v>
      </c>
      <c r="B9491" t="str">
        <f t="shared" si="191"/>
        <v>Капот</v>
      </c>
      <c r="C9491">
        <v>1</v>
      </c>
      <c r="D9491">
        <v>11211.432000000001</v>
      </c>
    </row>
    <row r="9492" spans="1:4">
      <c r="A9492" t="str">
        <f>"F510M-1CAMA"</f>
        <v>F510M-1CAMA</v>
      </c>
      <c r="B9492" t="str">
        <f t="shared" si="191"/>
        <v>Капот</v>
      </c>
      <c r="C9492">
        <v>7</v>
      </c>
      <c r="D9492">
        <v>19677.84</v>
      </c>
    </row>
    <row r="9493" spans="1:4">
      <c r="A9493" t="str">
        <f>"F510M-9W5MA"</f>
        <v>F510M-9W5MA</v>
      </c>
      <c r="B9493" t="str">
        <f t="shared" si="191"/>
        <v>Капот</v>
      </c>
      <c r="C9493">
        <v>0</v>
      </c>
      <c r="D9493">
        <v>10385.232</v>
      </c>
    </row>
    <row r="9494" spans="1:4">
      <c r="A9494" t="str">
        <f>"F510M-JK0M0"</f>
        <v>F510M-JK0M0</v>
      </c>
      <c r="B9494" t="str">
        <f t="shared" si="191"/>
        <v>Капот</v>
      </c>
      <c r="C9494">
        <v>5</v>
      </c>
      <c r="D9494">
        <v>18822.263999999999</v>
      </c>
    </row>
    <row r="9495" spans="1:4">
      <c r="A9495" t="str">
        <f>"F510M-JN2MA"</f>
        <v>F510M-JN2MA</v>
      </c>
      <c r="B9495" t="str">
        <f t="shared" si="191"/>
        <v>Капот</v>
      </c>
      <c r="C9495">
        <v>0</v>
      </c>
      <c r="D9495">
        <v>10385.232</v>
      </c>
    </row>
    <row r="9496" spans="1:4">
      <c r="A9496" t="str">
        <f>"F510M-VD2MA"</f>
        <v>F510M-VD2MA</v>
      </c>
      <c r="B9496" t="str">
        <f t="shared" si="191"/>
        <v>Капот</v>
      </c>
      <c r="C9496">
        <v>2</v>
      </c>
      <c r="D9496">
        <v>10385.232</v>
      </c>
    </row>
    <row r="9497" spans="1:4">
      <c r="A9497" t="str">
        <f>"F5D70-VD20A"</f>
        <v>F5D70-VD20A</v>
      </c>
      <c r="B9497" t="str">
        <f>"Стойка капота"</f>
        <v>Стойка капота</v>
      </c>
      <c r="C9497">
        <v>12</v>
      </c>
      <c r="D9497">
        <v>2740.944</v>
      </c>
    </row>
    <row r="9498" spans="1:4">
      <c r="A9498" t="str">
        <f>"F5D71-VD20A"</f>
        <v>F5D71-VD20A</v>
      </c>
      <c r="B9498" t="str">
        <f>"Стойка капота"</f>
        <v>Стойка капота</v>
      </c>
      <c r="C9498">
        <v>11</v>
      </c>
      <c r="D9498">
        <v>2865.7919999999999</v>
      </c>
    </row>
    <row r="9499" spans="1:4">
      <c r="A9499" t="str">
        <f>"F8800-89920"</f>
        <v>F8800-89920</v>
      </c>
      <c r="B9499" t="str">
        <f>"Пепельница"</f>
        <v>Пепельница</v>
      </c>
      <c r="C9499">
        <v>8</v>
      </c>
      <c r="D9499">
        <v>965.73599999999988</v>
      </c>
    </row>
    <row r="9500" spans="1:4">
      <c r="A9500" t="str">
        <f>"F8800-89925"</f>
        <v>F8800-89925</v>
      </c>
      <c r="B9500" t="str">
        <f>"Пепельница"</f>
        <v>Пепельница</v>
      </c>
      <c r="C9500">
        <v>5</v>
      </c>
      <c r="D9500">
        <v>1436.568</v>
      </c>
    </row>
    <row r="9501" spans="1:4">
      <c r="A9501" t="str">
        <f>"G2700-1AH3D"</f>
        <v>G2700-1AH3D</v>
      </c>
      <c r="B9501" t="str">
        <f>"GLASS-WINDSHIEL"</f>
        <v>GLASS-WINDSHIEL</v>
      </c>
      <c r="C9501">
        <v>0</v>
      </c>
      <c r="D9501">
        <v>25926.768</v>
      </c>
    </row>
    <row r="9502" spans="1:4">
      <c r="A9502" t="str">
        <f>"G2700-1BG0A"</f>
        <v>G2700-1BG0A</v>
      </c>
      <c r="B9502" t="str">
        <f>"Стекло лобовое"</f>
        <v>Стекло лобовое</v>
      </c>
      <c r="C9502">
        <v>0</v>
      </c>
      <c r="D9502">
        <v>26190.335999999999</v>
      </c>
    </row>
    <row r="9503" spans="1:4">
      <c r="A9503" t="str">
        <f>"G2700-1BN1C"</f>
        <v>G2700-1BN1C</v>
      </c>
      <c r="B9503" t="str">
        <f>"GLASS-WINDSHIEL"</f>
        <v>GLASS-WINDSHIEL</v>
      </c>
      <c r="C9503">
        <v>0</v>
      </c>
      <c r="D9503">
        <v>30248.303999999996</v>
      </c>
    </row>
    <row r="9504" spans="1:4">
      <c r="A9504" t="str">
        <f>"G2700-1CJ0A"</f>
        <v>G2700-1CJ0A</v>
      </c>
      <c r="B9504" t="str">
        <f>"Стекло лобовое"</f>
        <v>Стекло лобовое</v>
      </c>
      <c r="C9504">
        <v>8</v>
      </c>
      <c r="D9504">
        <v>26311.919999999998</v>
      </c>
    </row>
    <row r="9505" spans="1:4">
      <c r="A9505" t="str">
        <f>"G2700-1LB1B"</f>
        <v>G2700-1LB1B</v>
      </c>
      <c r="B9505" t="str">
        <f>"Стекло лобовое"</f>
        <v>Стекло лобовое</v>
      </c>
      <c r="C9505">
        <v>0</v>
      </c>
      <c r="D9505">
        <v>24486.12</v>
      </c>
    </row>
    <row r="9506" spans="1:4">
      <c r="A9506" t="str">
        <f>"G2700-9W50A"</f>
        <v>G2700-9W50A</v>
      </c>
      <c r="B9506" t="str">
        <f>"Стекло лобовое J"</f>
        <v>Стекло лобовое J</v>
      </c>
      <c r="C9506">
        <v>2</v>
      </c>
      <c r="D9506">
        <v>23074.848000000002</v>
      </c>
    </row>
    <row r="9507" spans="1:4">
      <c r="A9507" t="str">
        <f>"G2700-EJ20A"</f>
        <v>G2700-EJ20A</v>
      </c>
      <c r="B9507" t="str">
        <f>"Стекло лобовое"</f>
        <v>Стекло лобовое</v>
      </c>
      <c r="C9507">
        <v>6</v>
      </c>
      <c r="D9507">
        <v>26515.919999999998</v>
      </c>
    </row>
    <row r="9508" spans="1:4">
      <c r="A9508" t="str">
        <f>"G2700-EJ70B"</f>
        <v>G2700-EJ70B</v>
      </c>
      <c r="B9508" t="str">
        <f>"Стекло лобовое"</f>
        <v>Стекло лобовое</v>
      </c>
      <c r="C9508">
        <v>3</v>
      </c>
      <c r="D9508">
        <v>27167.903999999999</v>
      </c>
    </row>
    <row r="9509" spans="1:4">
      <c r="A9509" t="str">
        <f>"G2700-JN90A"</f>
        <v>G2700-JN90A</v>
      </c>
      <c r="B9509" t="str">
        <f>"Стекло лобовое"</f>
        <v>Стекло лобовое</v>
      </c>
      <c r="C9509">
        <v>14</v>
      </c>
      <c r="D9509">
        <v>20741.496000000003</v>
      </c>
    </row>
    <row r="9510" spans="1:4">
      <c r="A9510" t="str">
        <f>"G270M-3Y10A-ML"</f>
        <v>G270M-3Y10A-ML</v>
      </c>
      <c r="B9510" t="str">
        <f>"GLASS FR WINDSH"</f>
        <v>GLASS FR WINDSH</v>
      </c>
      <c r="C9510">
        <v>0</v>
      </c>
      <c r="D9510">
        <v>7778.1120000000001</v>
      </c>
    </row>
    <row r="9511" spans="1:4">
      <c r="A9511" t="str">
        <f>"G270M-8H70N-CH"</f>
        <v>G270M-8H70N-CH</v>
      </c>
      <c r="B9511" t="str">
        <f>"Стекло лобовое"</f>
        <v>Стекло лобовое</v>
      </c>
      <c r="C9511">
        <v>2</v>
      </c>
      <c r="D9511">
        <v>7518.6239999999998</v>
      </c>
    </row>
    <row r="9512" spans="1:4">
      <c r="A9512" t="str">
        <f>"G270M-VC70M-ML"</f>
        <v>G270M-VC70M-ML</v>
      </c>
      <c r="B9512" t="str">
        <f>"WINDSHIELD"</f>
        <v>WINDSHIELD</v>
      </c>
      <c r="C9512">
        <v>0</v>
      </c>
      <c r="D9512">
        <v>7000.0559999999996</v>
      </c>
    </row>
    <row r="9513" spans="1:4">
      <c r="A9513" t="str">
        <f>"G270M-VC71M-ML"</f>
        <v>G270M-VC71M-ML</v>
      </c>
      <c r="B9513" t="str">
        <f>"WINDSHIELD"</f>
        <v>WINDSHIELD</v>
      </c>
      <c r="C9513">
        <v>0</v>
      </c>
      <c r="D9513">
        <v>11667.168</v>
      </c>
    </row>
    <row r="9514" spans="1:4">
      <c r="A9514" t="str">
        <f>"G2716-89900"</f>
        <v>G2716-89900</v>
      </c>
      <c r="B9514" t="str">
        <f>"RUBBER-DUM"</f>
        <v>RUBBER-DUM</v>
      </c>
      <c r="C9514">
        <v>2</v>
      </c>
      <c r="D9514">
        <v>647.08799999999997</v>
      </c>
    </row>
    <row r="9515" spans="1:4">
      <c r="A9515" t="str">
        <f>"G2716-89901"</f>
        <v>G2716-89901</v>
      </c>
      <c r="B9515" t="str">
        <f>"RUBBER-DUM"</f>
        <v>RUBBER-DUM</v>
      </c>
      <c r="C9515">
        <v>205</v>
      </c>
      <c r="D9515">
        <v>655.65599999999995</v>
      </c>
    </row>
    <row r="9516" spans="1:4">
      <c r="A9516" t="str">
        <f>"G4514-JD0MD"</f>
        <v>G4514-JD0MD</v>
      </c>
      <c r="B9516" t="str">
        <f>"Панель кузова (пол б"</f>
        <v>Панель кузова (пол б</v>
      </c>
      <c r="C9516">
        <v>0</v>
      </c>
      <c r="D9516">
        <v>14122.512000000001</v>
      </c>
    </row>
    <row r="9517" spans="1:4">
      <c r="A9517" t="str">
        <f>"G4514-JG0MA"</f>
        <v>G4514-JG0MA</v>
      </c>
      <c r="B9517" t="str">
        <f>"Панель кузовная (пол"</f>
        <v>Панель кузовная (пол</v>
      </c>
      <c r="C9517">
        <v>1</v>
      </c>
      <c r="D9517">
        <v>15961.775999999998</v>
      </c>
    </row>
    <row r="9518" spans="1:4">
      <c r="A9518" t="str">
        <f>"G6033-AV6MA"</f>
        <v>G6033-AV6MA</v>
      </c>
      <c r="B9518" t="str">
        <f>"ПАНЕЛЬ КУЗ (БОКОВИНА"</f>
        <v>ПАНЕЛЬ КУЗ (БОКОВИНА</v>
      </c>
      <c r="C9518">
        <v>1</v>
      </c>
      <c r="D9518">
        <v>12240.407999999999</v>
      </c>
    </row>
    <row r="9519" spans="1:4">
      <c r="A9519" t="str">
        <f>"G6410-JG0MA"</f>
        <v>G6410-JG0MA</v>
      </c>
      <c r="B9519" t="str">
        <f>"Порог кузова"</f>
        <v>Порог кузова</v>
      </c>
      <c r="C9519">
        <v>1</v>
      </c>
      <c r="D9519">
        <v>15052.344000000001</v>
      </c>
    </row>
    <row r="9520" spans="1:4">
      <c r="A9520" t="str">
        <f>"G6411-JG0MA"</f>
        <v>G6411-JG0MA</v>
      </c>
      <c r="B9520" t="str">
        <f>"Порог кузова"</f>
        <v>Порог кузова</v>
      </c>
      <c r="C9520">
        <v>2</v>
      </c>
      <c r="D9520">
        <v>14690.448</v>
      </c>
    </row>
    <row r="9521" spans="1:4">
      <c r="A9521" t="str">
        <f>"G6511-AV6M0"</f>
        <v>G6511-AV6M0</v>
      </c>
      <c r="B9521" t="str">
        <f>"ПАНЕЛЬ КУЗОВА"</f>
        <v>ПАНЕЛЬ КУЗОВА</v>
      </c>
      <c r="C9521">
        <v>1</v>
      </c>
      <c r="D9521">
        <v>4220.76</v>
      </c>
    </row>
    <row r="9522" spans="1:4">
      <c r="A9522" t="str">
        <f>"G8100-JG1MA"</f>
        <v>G8100-JG1MA</v>
      </c>
      <c r="B9522" t="str">
        <f>"Крыло заднее пра"</f>
        <v>Крыло заднее пра</v>
      </c>
      <c r="C9522">
        <v>1</v>
      </c>
      <c r="D9522">
        <v>22329.84</v>
      </c>
    </row>
    <row r="9523" spans="1:4">
      <c r="A9523" t="str">
        <f>"G8101-9U0M0"</f>
        <v>G8101-9U0M0</v>
      </c>
      <c r="B9523" t="str">
        <f>"Крыло заднее лев"</f>
        <v>Крыло заднее лев</v>
      </c>
      <c r="C9523">
        <v>1</v>
      </c>
      <c r="D9523">
        <v>17614.583999999999</v>
      </c>
    </row>
    <row r="9524" spans="1:4">
      <c r="A9524" t="str">
        <f>"G8101-EL030"</f>
        <v>G8101-EL030</v>
      </c>
      <c r="B9524" t="str">
        <f>"Крыло заднее лев"</f>
        <v>Крыло заднее лев</v>
      </c>
      <c r="C9524">
        <v>2</v>
      </c>
      <c r="D9524">
        <v>15311.423999999999</v>
      </c>
    </row>
    <row r="9525" spans="1:4">
      <c r="A9525" t="str">
        <f>"G8101-JG1MA"</f>
        <v>G8101-JG1MA</v>
      </c>
      <c r="B9525" t="str">
        <f>"Крыло заднее лев"</f>
        <v>Крыло заднее лев</v>
      </c>
      <c r="C9525">
        <v>1</v>
      </c>
      <c r="D9525">
        <v>22887.984</v>
      </c>
    </row>
    <row r="9526" spans="1:4">
      <c r="A9526" t="str">
        <f>"G8101-JN2MA"</f>
        <v>G8101-JN2MA</v>
      </c>
      <c r="B9526" t="str">
        <f>"Крыло заднее лев"</f>
        <v>Крыло заднее лев</v>
      </c>
      <c r="C9526">
        <v>0</v>
      </c>
      <c r="D9526">
        <v>23083.416000000001</v>
      </c>
    </row>
    <row r="9527" spans="1:4">
      <c r="A9527" t="str">
        <f>"G8112-JD0MA"</f>
        <v>G8112-JD0MA</v>
      </c>
      <c r="B9527" t="str">
        <f>"Крыло заднее пра"</f>
        <v>Крыло заднее пра</v>
      </c>
      <c r="C9527">
        <v>1</v>
      </c>
      <c r="D9527">
        <v>19565.232</v>
      </c>
    </row>
    <row r="9528" spans="1:4">
      <c r="A9528" t="str">
        <f>"G8113-JD0MA"</f>
        <v>G8113-JD0MA</v>
      </c>
      <c r="B9528" t="str">
        <f>"Крыло заднее лев"</f>
        <v>Крыло заднее лев</v>
      </c>
      <c r="C9528">
        <v>2</v>
      </c>
      <c r="D9528">
        <v>18282.887999999999</v>
      </c>
    </row>
    <row r="9529" spans="1:4">
      <c r="A9529" t="str">
        <f>"G8114-JD0M0"</f>
        <v>G8114-JD0M0</v>
      </c>
      <c r="B9529" t="str">
        <f>"Панель кузова"</f>
        <v>Панель кузова</v>
      </c>
      <c r="C9529">
        <v>10</v>
      </c>
      <c r="D9529">
        <v>4283.1840000000002</v>
      </c>
    </row>
    <row r="9530" spans="1:4">
      <c r="A9530" t="str">
        <f>"G8115-JD0M0"</f>
        <v>G8115-JD0M0</v>
      </c>
      <c r="B9530" t="str">
        <f>"Панель кузова"</f>
        <v>Панель кузова</v>
      </c>
      <c r="C9530">
        <v>1</v>
      </c>
      <c r="D9530">
        <v>4303.1759999999995</v>
      </c>
    </row>
    <row r="9531" spans="1:4">
      <c r="A9531" t="str">
        <f>"G8136-9U0M0"</f>
        <v>G8136-9U0M0</v>
      </c>
      <c r="B9531" t="str">
        <f>"Кронштейн заднего кр"</f>
        <v>Кронштейн заднего кр</v>
      </c>
      <c r="C9531">
        <v>2</v>
      </c>
      <c r="D9531">
        <v>2404.752</v>
      </c>
    </row>
    <row r="9532" spans="1:4">
      <c r="A9532" t="str">
        <f>"G8136-JD0M0"</f>
        <v>G8136-JD0M0</v>
      </c>
      <c r="B9532" t="str">
        <f>"Угол заднего кры"</f>
        <v>Угол заднего кры</v>
      </c>
      <c r="C9532">
        <v>7</v>
      </c>
      <c r="D9532">
        <v>2078.7599999999998</v>
      </c>
    </row>
    <row r="9533" spans="1:4">
      <c r="A9533" t="str">
        <f>"G8137-9U0M0"</f>
        <v>G8137-9U0M0</v>
      </c>
      <c r="B9533" t="str">
        <f>"Панель кузова"</f>
        <v>Панель кузова</v>
      </c>
      <c r="C9533">
        <v>1</v>
      </c>
      <c r="D9533">
        <v>2408.8319999999999</v>
      </c>
    </row>
    <row r="9534" spans="1:4">
      <c r="A9534" t="str">
        <f>"G8137-JD0M0"</f>
        <v>G8137-JD0M0</v>
      </c>
      <c r="B9534" t="str">
        <f>"Угол заднего кры"</f>
        <v>Угол заднего кры</v>
      </c>
      <c r="C9534">
        <v>0</v>
      </c>
      <c r="D9534">
        <v>2106.9119999999998</v>
      </c>
    </row>
    <row r="9535" spans="1:4">
      <c r="A9535" t="str">
        <f>"G8810-EM100"</f>
        <v>G8810-EM100</v>
      </c>
      <c r="B9535" t="str">
        <f>"Брызговики задние 2ш"</f>
        <v>Брызговики задние 2ш</v>
      </c>
      <c r="C9535">
        <v>30</v>
      </c>
      <c r="D9535">
        <v>1585.4880000000001</v>
      </c>
    </row>
    <row r="9536" spans="1:4">
      <c r="A9536" t="str">
        <f>"G8812-8H325"</f>
        <v>G8812-8H325</v>
      </c>
      <c r="B9536" t="str">
        <f>"Брызговик задний пра"</f>
        <v>Брызговик задний пра</v>
      </c>
      <c r="C9536">
        <v>8</v>
      </c>
      <c r="D9536">
        <v>700.12800000000004</v>
      </c>
    </row>
    <row r="9537" spans="1:4">
      <c r="A9537" t="str">
        <f>"G8813-8H325"</f>
        <v>G8813-8H325</v>
      </c>
      <c r="B9537" t="str">
        <f>"Брызговик задний лев"</f>
        <v>Брызговик задний лев</v>
      </c>
      <c r="C9537">
        <v>14</v>
      </c>
      <c r="D9537">
        <v>757.65599999999995</v>
      </c>
    </row>
    <row r="9538" spans="1:4">
      <c r="A9538" t="str">
        <f>"G8830-JD0M0"</f>
        <v>G8830-JD0M0</v>
      </c>
      <c r="B9538" t="str">
        <f>"Лючок заливной горло"</f>
        <v>Лючок заливной горло</v>
      </c>
      <c r="C9538">
        <v>3</v>
      </c>
      <c r="D9538">
        <v>2522.2559999999999</v>
      </c>
    </row>
    <row r="9539" spans="1:4">
      <c r="A9539" t="str">
        <f>"G8830-ZW4MA"</f>
        <v>G8830-ZW4MA</v>
      </c>
      <c r="B9539" t="str">
        <f>"Замок лючка заливной"</f>
        <v>Замок лючка заливной</v>
      </c>
      <c r="C9539">
        <v>1</v>
      </c>
      <c r="D9539">
        <v>1261.5359999999998</v>
      </c>
    </row>
    <row r="9540" spans="1:4">
      <c r="A9540" t="str">
        <f>"G8A00-8H730"</f>
        <v>G8A00-8H730</v>
      </c>
      <c r="B9540" t="str">
        <f>"Крыло заднее пра"</f>
        <v>Крыло заднее пра</v>
      </c>
      <c r="C9540">
        <v>0</v>
      </c>
      <c r="D9540">
        <v>20191.511999999999</v>
      </c>
    </row>
    <row r="9541" spans="1:4">
      <c r="A9541" t="str">
        <f>"G8H10-VB085"</f>
        <v>G8H10-VB085</v>
      </c>
      <c r="B9541" t="str">
        <f>"Брызговик задний пра"</f>
        <v>Брызговик задний пра</v>
      </c>
      <c r="C9541">
        <v>0</v>
      </c>
      <c r="D9541">
        <v>2862.5279999999998</v>
      </c>
    </row>
    <row r="9542" spans="1:4">
      <c r="A9542" t="str">
        <f>"G8H11-VB085"</f>
        <v>G8H11-VB085</v>
      </c>
      <c r="B9542" t="str">
        <f>"Брызговик задний лев"</f>
        <v>Брызговик задний лев</v>
      </c>
      <c r="C9542">
        <v>0</v>
      </c>
      <c r="D9542">
        <v>2952.6959999999999</v>
      </c>
    </row>
    <row r="9543" spans="1:4">
      <c r="A9543" t="str">
        <f>"G9100-BH0MA"</f>
        <v>G9100-BH0MA</v>
      </c>
      <c r="B9543" t="str">
        <f>"Панель кузова задняя"</f>
        <v>Панель кузова задняя</v>
      </c>
      <c r="C9543">
        <v>5</v>
      </c>
      <c r="D9543">
        <v>11494.583999999999</v>
      </c>
    </row>
    <row r="9544" spans="1:4">
      <c r="A9544" t="str">
        <f>"G9110-BG0MA"</f>
        <v>G9110-BG0MA</v>
      </c>
      <c r="B9544" t="str">
        <f>"Панель кузова задняя"</f>
        <v>Панель кузова задняя</v>
      </c>
      <c r="C9544">
        <v>6</v>
      </c>
      <c r="D9544">
        <v>8987.0159999999996</v>
      </c>
    </row>
    <row r="9545" spans="1:4">
      <c r="A9545" t="str">
        <f>"G9110-JD0AA"</f>
        <v>G9110-JD0AA</v>
      </c>
      <c r="B9545" t="str">
        <f>"Панель кузова задняя"</f>
        <v>Панель кузова задняя</v>
      </c>
      <c r="C9545">
        <v>1</v>
      </c>
      <c r="D9545">
        <v>8498.232</v>
      </c>
    </row>
    <row r="9546" spans="1:4">
      <c r="A9546" t="str">
        <f>"G9110-ZR8MA"</f>
        <v>G9110-ZR8MA</v>
      </c>
      <c r="B9546" t="str">
        <f>"Панель кузова задняя"</f>
        <v>Панель кузова задняя</v>
      </c>
      <c r="C9546">
        <v>1</v>
      </c>
      <c r="D9546">
        <v>5215.8720000000003</v>
      </c>
    </row>
    <row r="9547" spans="1:4">
      <c r="A9547" t="str">
        <f>"G9110-ZW4MA"</f>
        <v>G9110-ZW4MA</v>
      </c>
      <c r="B9547" t="str">
        <f>"Панель кузова задняя"</f>
        <v>Панель кузова задняя</v>
      </c>
      <c r="C9547">
        <v>1</v>
      </c>
      <c r="D9547">
        <v>5434.56</v>
      </c>
    </row>
    <row r="9548" spans="1:4">
      <c r="A9548" t="str">
        <f>"G9700-JN90A"</f>
        <v>G9700-JN90A</v>
      </c>
      <c r="B9548" t="str">
        <f>"Стекло заднее"</f>
        <v>Стекло заднее</v>
      </c>
      <c r="C9548">
        <v>10</v>
      </c>
      <c r="D9548">
        <v>40736.76</v>
      </c>
    </row>
    <row r="9549" spans="1:4">
      <c r="A9549" t="str">
        <f>"H0100-CB0MM"</f>
        <v>H0100-CB0MM</v>
      </c>
      <c r="B9549" t="str">
        <f>"DOOR FRONT RH"</f>
        <v>DOOR FRONT RH</v>
      </c>
      <c r="C9549">
        <v>0</v>
      </c>
      <c r="D9549">
        <v>18902.64</v>
      </c>
    </row>
    <row r="9550" spans="1:4">
      <c r="A9550" t="str">
        <f>"H0100-CG0MM"</f>
        <v>H0100-CG0MM</v>
      </c>
      <c r="B9550" t="str">
        <f>"DOOR FRONT RH"</f>
        <v>DOOR FRONT RH</v>
      </c>
      <c r="C9550">
        <v>2</v>
      </c>
      <c r="D9550">
        <v>21140.927999999996</v>
      </c>
    </row>
    <row r="9551" spans="1:4">
      <c r="A9551" t="str">
        <f>"H0100-JG0MM"</f>
        <v>H0100-JG0MM</v>
      </c>
      <c r="B9551" t="str">
        <f>"Дверь передняя права"</f>
        <v>Дверь передняя права</v>
      </c>
      <c r="C9551">
        <v>1</v>
      </c>
      <c r="D9551">
        <v>17111.928</v>
      </c>
    </row>
    <row r="9552" spans="1:4">
      <c r="A9552" t="str">
        <f>"H0100-ZN9MA"</f>
        <v>H0100-ZN9MA</v>
      </c>
      <c r="B9552" t="str">
        <f>"Дверь передняя права"</f>
        <v>Дверь передняя права</v>
      </c>
      <c r="C9552">
        <v>1</v>
      </c>
      <c r="D9552">
        <v>12335.472</v>
      </c>
    </row>
    <row r="9553" spans="1:4">
      <c r="A9553" t="str">
        <f>"H0101-5X0MB"</f>
        <v>H0101-5X0MB</v>
      </c>
      <c r="B9553" t="str">
        <f>"Дверь передняя левая"</f>
        <v>Дверь передняя левая</v>
      </c>
      <c r="C9553">
        <v>0</v>
      </c>
      <c r="D9553">
        <v>22492.223999999998</v>
      </c>
    </row>
    <row r="9554" spans="1:4">
      <c r="A9554" t="str">
        <f>"H0101-9U0M0"</f>
        <v>H0101-9U0M0</v>
      </c>
      <c r="B9554" t="str">
        <f>"Дверь передняя левая"</f>
        <v>Дверь передняя левая</v>
      </c>
      <c r="C9554">
        <v>0</v>
      </c>
      <c r="D9554">
        <v>11766.72</v>
      </c>
    </row>
    <row r="9555" spans="1:4">
      <c r="A9555" t="str">
        <f>"H0101-CB0MM"</f>
        <v>H0101-CB0MM</v>
      </c>
      <c r="B9555" t="str">
        <f>"DOOR FRONT LH"</f>
        <v>DOOR FRONT LH</v>
      </c>
      <c r="C9555">
        <v>2</v>
      </c>
      <c r="D9555">
        <v>18902.64</v>
      </c>
    </row>
    <row r="9556" spans="1:4">
      <c r="A9556" t="str">
        <f>"H0101-CG0MM"</f>
        <v>H0101-CG0MM</v>
      </c>
      <c r="B9556" t="str">
        <f>"DOOR FRONT LH"</f>
        <v>DOOR FRONT LH</v>
      </c>
      <c r="C9556">
        <v>1</v>
      </c>
      <c r="D9556">
        <v>16320</v>
      </c>
    </row>
    <row r="9557" spans="1:4">
      <c r="A9557" t="str">
        <f>"H0101-JD0MD"</f>
        <v>H0101-JD0MD</v>
      </c>
      <c r="B9557" t="str">
        <f>"нет детальки"</f>
        <v>нет детальки</v>
      </c>
      <c r="C9557">
        <v>1</v>
      </c>
      <c r="D9557">
        <v>12393.816000000001</v>
      </c>
    </row>
    <row r="9558" spans="1:4">
      <c r="A9558" t="str">
        <f>"H0101-JG0MM"</f>
        <v>H0101-JG0MM</v>
      </c>
      <c r="B9558" t="str">
        <f t="shared" ref="B9558:B9566" si="192">"Дверь передняя левая"</f>
        <v>Дверь передняя левая</v>
      </c>
      <c r="C9558">
        <v>2</v>
      </c>
      <c r="D9558">
        <v>17111.928</v>
      </c>
    </row>
    <row r="9559" spans="1:4">
      <c r="A9559" t="str">
        <f>"H0101-ZN9MA"</f>
        <v>H0101-ZN9MA</v>
      </c>
      <c r="B9559" t="str">
        <f t="shared" si="192"/>
        <v>Дверь передняя левая</v>
      </c>
      <c r="C9559">
        <v>1</v>
      </c>
      <c r="D9559">
        <v>12335.472</v>
      </c>
    </row>
    <row r="9560" spans="1:4">
      <c r="A9560" t="str">
        <f>"H010A-1CAMA"</f>
        <v>H010A-1CAMA</v>
      </c>
      <c r="B9560" t="str">
        <f t="shared" si="192"/>
        <v>Дверь передняя левая</v>
      </c>
      <c r="C9560">
        <v>2</v>
      </c>
      <c r="D9560">
        <v>21135.624</v>
      </c>
    </row>
    <row r="9561" spans="1:4">
      <c r="A9561" t="str">
        <f>"H010A-3Y5MA"</f>
        <v>H010A-3Y5MA</v>
      </c>
      <c r="B9561" t="str">
        <f t="shared" si="192"/>
        <v>Дверь передняя левая</v>
      </c>
      <c r="C9561">
        <v>1</v>
      </c>
      <c r="D9561">
        <v>18298.8</v>
      </c>
    </row>
    <row r="9562" spans="1:4">
      <c r="A9562" t="str">
        <f>"H010A-8H7MA"</f>
        <v>H010A-8H7MA</v>
      </c>
      <c r="B9562" t="str">
        <f t="shared" si="192"/>
        <v>Дверь передняя левая</v>
      </c>
      <c r="C9562">
        <v>2</v>
      </c>
      <c r="D9562">
        <v>16814.088</v>
      </c>
    </row>
    <row r="9563" spans="1:4">
      <c r="A9563" t="str">
        <f>"H010A-9W5MA"</f>
        <v>H010A-9W5MA</v>
      </c>
      <c r="B9563" t="str">
        <f t="shared" si="192"/>
        <v>Дверь передняя левая</v>
      </c>
      <c r="C9563">
        <v>2</v>
      </c>
      <c r="D9563">
        <v>18298.8</v>
      </c>
    </row>
    <row r="9564" spans="1:4">
      <c r="A9564" t="str">
        <f>"H010A-CL7MA"</f>
        <v>H010A-CL7MA</v>
      </c>
      <c r="B9564" t="str">
        <f t="shared" si="192"/>
        <v>Дверь передняя левая</v>
      </c>
      <c r="C9564">
        <v>2</v>
      </c>
      <c r="D9564">
        <v>21135.624</v>
      </c>
    </row>
    <row r="9565" spans="1:4">
      <c r="A9565" t="str">
        <f>"H010A-JN2AA"</f>
        <v>H010A-JN2AA</v>
      </c>
      <c r="B9565" t="str">
        <f t="shared" si="192"/>
        <v>Дверь передняя левая</v>
      </c>
      <c r="C9565">
        <v>4</v>
      </c>
      <c r="D9565">
        <v>18894.48</v>
      </c>
    </row>
    <row r="9566" spans="1:4">
      <c r="A9566" t="str">
        <f>"H010A-VD2MA"</f>
        <v>H010A-VD2MA</v>
      </c>
      <c r="B9566" t="str">
        <f t="shared" si="192"/>
        <v>Дверь передняя левая</v>
      </c>
      <c r="C9566">
        <v>1</v>
      </c>
      <c r="D9566">
        <v>24123.407999999999</v>
      </c>
    </row>
    <row r="9567" spans="1:4">
      <c r="A9567" t="str">
        <f>"H010M-1AAAA"</f>
        <v>H010M-1AAAA</v>
      </c>
      <c r="B9567" t="str">
        <f t="shared" ref="B9567:B9574" si="193">"Дверь передняя права"</f>
        <v>Дверь передняя права</v>
      </c>
      <c r="C9567">
        <v>0</v>
      </c>
      <c r="D9567">
        <v>18902.64</v>
      </c>
    </row>
    <row r="9568" spans="1:4">
      <c r="A9568" t="str">
        <f>"H010M-1CAMA"</f>
        <v>H010M-1CAMA</v>
      </c>
      <c r="B9568" t="str">
        <f t="shared" si="193"/>
        <v>Дверь передняя права</v>
      </c>
      <c r="C9568">
        <v>2</v>
      </c>
      <c r="D9568">
        <v>23712.143999999997</v>
      </c>
    </row>
    <row r="9569" spans="1:4">
      <c r="A9569" t="str">
        <f>"H010M-8H7MA"</f>
        <v>H010M-8H7MA</v>
      </c>
      <c r="B9569" t="str">
        <f t="shared" si="193"/>
        <v>Дверь передняя права</v>
      </c>
      <c r="C9569">
        <v>1</v>
      </c>
      <c r="D9569">
        <v>16814.088</v>
      </c>
    </row>
    <row r="9570" spans="1:4">
      <c r="A9570" t="str">
        <f>"H010M-9W5MA"</f>
        <v>H010M-9W5MA</v>
      </c>
      <c r="B9570" t="str">
        <f t="shared" si="193"/>
        <v>Дверь передняя права</v>
      </c>
      <c r="C9570">
        <v>1</v>
      </c>
      <c r="D9570">
        <v>18298.8</v>
      </c>
    </row>
    <row r="9571" spans="1:4">
      <c r="A9571" t="str">
        <f>"H010M-CL7MA"</f>
        <v>H010M-CL7MA</v>
      </c>
      <c r="B9571" t="str">
        <f t="shared" si="193"/>
        <v>Дверь передняя права</v>
      </c>
      <c r="C9571">
        <v>1</v>
      </c>
      <c r="D9571">
        <v>21135.624</v>
      </c>
    </row>
    <row r="9572" spans="1:4">
      <c r="A9572" t="str">
        <f>"H010M-JK6AB"</f>
        <v>H010M-JK6AB</v>
      </c>
      <c r="B9572" t="str">
        <f t="shared" si="193"/>
        <v>Дверь передняя права</v>
      </c>
      <c r="C9572">
        <v>1</v>
      </c>
      <c r="D9572">
        <v>14244.912</v>
      </c>
    </row>
    <row r="9573" spans="1:4">
      <c r="A9573" t="str">
        <f>"H010M-JN2AA"</f>
        <v>H010M-JN2AA</v>
      </c>
      <c r="B9573" t="str">
        <f t="shared" si="193"/>
        <v>Дверь передняя права</v>
      </c>
      <c r="C9573">
        <v>1</v>
      </c>
      <c r="D9573">
        <v>18894.48</v>
      </c>
    </row>
    <row r="9574" spans="1:4">
      <c r="A9574" t="str">
        <f>"H010M-VD2MA"</f>
        <v>H010M-VD2MA</v>
      </c>
      <c r="B9574" t="str">
        <f t="shared" si="193"/>
        <v>Дверь передняя права</v>
      </c>
      <c r="C9574">
        <v>2</v>
      </c>
      <c r="D9574">
        <v>25109.135999999999</v>
      </c>
    </row>
    <row r="9575" spans="1:4">
      <c r="A9575" t="str">
        <f>"H0561-CC00A"</f>
        <v>H0561-CC00A</v>
      </c>
      <c r="B9575" t="str">
        <f>"KEY-BLANK,MASTR"</f>
        <v>KEY-BLANK,MASTR</v>
      </c>
      <c r="C9575">
        <v>8</v>
      </c>
      <c r="D9575">
        <v>3820.5120000000002</v>
      </c>
    </row>
    <row r="9576" spans="1:4">
      <c r="A9576" t="str">
        <f>"H0561-JG40A"</f>
        <v>H0561-JG40A</v>
      </c>
      <c r="B9576" t="str">
        <f>"Заготовка ключа"</f>
        <v>Заготовка ключа</v>
      </c>
      <c r="C9576">
        <v>14</v>
      </c>
      <c r="D9576">
        <v>2091.8159999999998</v>
      </c>
    </row>
    <row r="9577" spans="1:4">
      <c r="A9577" t="str">
        <f>"H0564-1F215"</f>
        <v>H0564-1F215</v>
      </c>
      <c r="B9577" t="str">
        <f>"KEY-BLANK,MASTE"</f>
        <v>KEY-BLANK,MASTE</v>
      </c>
      <c r="C9577">
        <v>5</v>
      </c>
      <c r="D9577">
        <v>2566.3199999999997</v>
      </c>
    </row>
    <row r="9578" spans="1:4">
      <c r="A9578" t="str">
        <f>"H0564-3Y500"</f>
        <v>H0564-3Y500</v>
      </c>
      <c r="B9578" t="str">
        <f>"KEY-BLANK,MASTR"</f>
        <v>KEY-BLANK,MASTR</v>
      </c>
      <c r="C9578">
        <v>5</v>
      </c>
      <c r="D9578">
        <v>1751.952</v>
      </c>
    </row>
    <row r="9579" spans="1:4">
      <c r="A9579" t="str">
        <f>"H0564-5M400"</f>
        <v>H0564-5M400</v>
      </c>
      <c r="B9579" t="str">
        <f>"KEY-BLANK,MASTR"</f>
        <v>KEY-BLANK,MASTR</v>
      </c>
      <c r="C9579">
        <v>9</v>
      </c>
      <c r="D9579">
        <v>2007.36</v>
      </c>
    </row>
    <row r="9580" spans="1:4">
      <c r="A9580" t="str">
        <f>"H0564-5Y700"</f>
        <v>H0564-5Y700</v>
      </c>
      <c r="B9580" t="str">
        <f t="shared" ref="B9580:B9585" si="194">"Заготовка ключа"</f>
        <v>Заготовка ключа</v>
      </c>
      <c r="C9580">
        <v>1</v>
      </c>
      <c r="D9580">
        <v>1817.2319999999997</v>
      </c>
    </row>
    <row r="9581" spans="1:4">
      <c r="A9581" t="str">
        <f>"H0564-9Y800"</f>
        <v>H0564-9Y800</v>
      </c>
      <c r="B9581" t="str">
        <f t="shared" si="194"/>
        <v>Заготовка ключа</v>
      </c>
      <c r="C9581">
        <v>8</v>
      </c>
      <c r="D9581">
        <v>2050.6079999999997</v>
      </c>
    </row>
    <row r="9582" spans="1:4">
      <c r="A9582" t="str">
        <f>"H0564-AU100"</f>
        <v>H0564-AU100</v>
      </c>
      <c r="B9582" t="str">
        <f t="shared" si="194"/>
        <v>Заготовка ключа</v>
      </c>
      <c r="C9582">
        <v>5</v>
      </c>
      <c r="D9582">
        <v>157.89600000000002</v>
      </c>
    </row>
    <row r="9583" spans="1:4">
      <c r="A9583" t="str">
        <f>"H0564-CD000"</f>
        <v>H0564-CD000</v>
      </c>
      <c r="B9583" t="str">
        <f t="shared" si="194"/>
        <v>Заготовка ключа</v>
      </c>
      <c r="C9583">
        <v>3</v>
      </c>
      <c r="D9583">
        <v>2297.04</v>
      </c>
    </row>
    <row r="9584" spans="1:4">
      <c r="A9584" t="str">
        <f>"H0564-CD010"</f>
        <v>H0564-CD010</v>
      </c>
      <c r="B9584" t="str">
        <f t="shared" si="194"/>
        <v>Заготовка ключа</v>
      </c>
      <c r="C9584">
        <v>5</v>
      </c>
      <c r="D9584">
        <v>2033.88</v>
      </c>
    </row>
    <row r="9585" spans="1:4">
      <c r="A9585" t="str">
        <f>"H0564-CD700"</f>
        <v>H0564-CD700</v>
      </c>
      <c r="B9585" t="str">
        <f t="shared" si="194"/>
        <v>Заготовка ключа</v>
      </c>
      <c r="C9585">
        <v>4</v>
      </c>
      <c r="D9585">
        <v>1099.152</v>
      </c>
    </row>
    <row r="9586" spans="1:4">
      <c r="A9586" t="str">
        <f>"H0564-CG000"</f>
        <v>H0564-CG000</v>
      </c>
      <c r="B9586" t="str">
        <f>"KEY-BLANK,MASTR"</f>
        <v>KEY-BLANK,MASTR</v>
      </c>
      <c r="C9586">
        <v>7</v>
      </c>
      <c r="D9586">
        <v>2421.48</v>
      </c>
    </row>
    <row r="9587" spans="1:4">
      <c r="A9587" t="str">
        <f>"H0564-CG005"</f>
        <v>H0564-CG005</v>
      </c>
      <c r="B9587" t="str">
        <f>"KEY-BLANK, MAST"</f>
        <v>KEY-BLANK, MAST</v>
      </c>
      <c r="C9587">
        <v>4</v>
      </c>
      <c r="D9587">
        <v>1961.664</v>
      </c>
    </row>
    <row r="9588" spans="1:4">
      <c r="A9588" t="str">
        <f>"H0564-EG010"</f>
        <v>H0564-EG010</v>
      </c>
      <c r="B9588" t="str">
        <f>"Заготовка ключа"</f>
        <v>Заготовка ключа</v>
      </c>
      <c r="C9588">
        <v>17</v>
      </c>
      <c r="D9588">
        <v>495.72</v>
      </c>
    </row>
    <row r="9589" spans="1:4">
      <c r="A9589" t="str">
        <f>"H0564-EM00B"</f>
        <v>H0564-EM00B</v>
      </c>
      <c r="B9589" t="str">
        <f>"Заготовка ключа"</f>
        <v>Заготовка ключа</v>
      </c>
      <c r="C9589">
        <v>5</v>
      </c>
      <c r="D9589">
        <v>1685.4479999999999</v>
      </c>
    </row>
    <row r="9590" spans="1:4">
      <c r="A9590" t="str">
        <f>"H0564-ET000"</f>
        <v>H0564-ET000</v>
      </c>
      <c r="B9590" t="str">
        <f>"Заготовка ключа"</f>
        <v>Заготовка ключа</v>
      </c>
      <c r="C9590">
        <v>2</v>
      </c>
      <c r="D9590">
        <v>585.072</v>
      </c>
    </row>
    <row r="9591" spans="1:4">
      <c r="A9591" t="str">
        <f>"H0564-JG00A"</f>
        <v>H0564-JG00A</v>
      </c>
      <c r="B9591" t="str">
        <f>"Ключ"</f>
        <v>Ключ</v>
      </c>
      <c r="C9591">
        <v>3</v>
      </c>
      <c r="D9591">
        <v>849.45600000000002</v>
      </c>
    </row>
    <row r="9592" spans="1:4">
      <c r="A9592" t="str">
        <f>"H0564-JG40B"</f>
        <v>H0564-JG40B</v>
      </c>
      <c r="B9592" t="str">
        <f>"Заготовка ключа"</f>
        <v>Заготовка ключа</v>
      </c>
      <c r="C9592">
        <v>4</v>
      </c>
      <c r="D9592">
        <v>1735.6319999999998</v>
      </c>
    </row>
    <row r="9593" spans="1:4">
      <c r="A9593" t="str">
        <f>"H0600-50J02"</f>
        <v>H0600-50J02</v>
      </c>
      <c r="B9593" t="str">
        <f>"CYLINDER ASSY"</f>
        <v>CYLINDER ASSY</v>
      </c>
      <c r="C9593">
        <v>13</v>
      </c>
      <c r="D9593">
        <v>1243.1759999999999</v>
      </c>
    </row>
    <row r="9594" spans="1:4">
      <c r="A9594" t="str">
        <f>"H0601-CA00A"</f>
        <v>H0601-CA00A</v>
      </c>
      <c r="B9594" t="str">
        <f>"Личинка замка дв"</f>
        <v>Личинка замка дв</v>
      </c>
      <c r="C9594">
        <v>1</v>
      </c>
      <c r="D9594">
        <v>1071.4079999999999</v>
      </c>
    </row>
    <row r="9595" spans="1:4">
      <c r="A9595" t="str">
        <f>"H0800-1AA00"</f>
        <v>H0800-1AA00</v>
      </c>
      <c r="B9595" t="str">
        <f>"Дефлектор двери"</f>
        <v>Дефлектор двери</v>
      </c>
      <c r="C9595">
        <v>2</v>
      </c>
      <c r="D9595">
        <v>4769.1120000000001</v>
      </c>
    </row>
    <row r="9596" spans="1:4">
      <c r="A9596" t="str">
        <f>"H0800-1KA00"</f>
        <v>H0800-1KA00</v>
      </c>
      <c r="B9596" t="str">
        <f>"Дефлекторы дверей к-"</f>
        <v>Дефлекторы дверей к-</v>
      </c>
      <c r="C9596">
        <v>1</v>
      </c>
      <c r="D9596">
        <v>2770.3199999999997</v>
      </c>
    </row>
    <row r="9597" spans="1:4">
      <c r="A9597" t="str">
        <f>"H0800-EL000"</f>
        <v>H0800-EL000</v>
      </c>
      <c r="B9597" t="str">
        <f>"Дефлектор двери плас"</f>
        <v>Дефлектор двери плас</v>
      </c>
      <c r="C9597">
        <v>3</v>
      </c>
      <c r="D9597">
        <v>3987.384</v>
      </c>
    </row>
    <row r="9598" spans="1:4">
      <c r="A9598" t="str">
        <f>"H0800-EL400"</f>
        <v>H0800-EL400</v>
      </c>
      <c r="B9598" t="str">
        <f>"Дефлектор двери"</f>
        <v>Дефлектор двери</v>
      </c>
      <c r="C9598">
        <v>4</v>
      </c>
      <c r="D9598">
        <v>3800.1120000000001</v>
      </c>
    </row>
    <row r="9599" spans="1:4">
      <c r="A9599" t="str">
        <f>"H0800-JD000"</f>
        <v>H0800-JD000</v>
      </c>
      <c r="B9599" t="str">
        <f>"Дефлекторы дверей к-"</f>
        <v>Дефлекторы дверей к-</v>
      </c>
      <c r="C9599">
        <v>0</v>
      </c>
      <c r="D9599">
        <v>4261.9679999999998</v>
      </c>
    </row>
    <row r="9600" spans="1:4">
      <c r="A9600" t="str">
        <f>"H0800-JH100"</f>
        <v>H0800-JH100</v>
      </c>
      <c r="B9600" t="str">
        <f>"Дефлекторы дверей к-"</f>
        <v>Дефлекторы дверей к-</v>
      </c>
      <c r="C9600">
        <v>5</v>
      </c>
      <c r="D9600">
        <v>3888.24</v>
      </c>
    </row>
    <row r="9601" spans="1:4">
      <c r="A9601" t="str">
        <f>"H0800-JN210"</f>
        <v>H0800-JN210</v>
      </c>
      <c r="B9601" t="str">
        <f>"Дефлекторы дверей к-"</f>
        <v>Дефлекторы дверей к-</v>
      </c>
      <c r="C9601">
        <v>0</v>
      </c>
      <c r="D9601">
        <v>4456.5839999999998</v>
      </c>
    </row>
    <row r="9602" spans="1:4">
      <c r="A9602" t="str">
        <f>"H0895-R8000"</f>
        <v>H0895-R8000</v>
      </c>
      <c r="B9602" t="str">
        <f>"Уплотнитель"</f>
        <v>Уплотнитель</v>
      </c>
      <c r="C9602">
        <v>15</v>
      </c>
      <c r="D9602">
        <v>210.11999999999998</v>
      </c>
    </row>
    <row r="9603" spans="1:4">
      <c r="A9603" t="str">
        <f>"H0F01-3Y50A"</f>
        <v>H0F01-3Y50A</v>
      </c>
      <c r="B9603" t="str">
        <f>"Личинка замка дв"</f>
        <v>Личинка замка дв</v>
      </c>
      <c r="C9603">
        <v>1</v>
      </c>
      <c r="D9603">
        <v>1330.0800000000002</v>
      </c>
    </row>
    <row r="9604" spans="1:4">
      <c r="A9604" t="str">
        <f>"H2100-0W0CA"</f>
        <v>H2100-0W0CA</v>
      </c>
      <c r="B9604" t="str">
        <f>"DOOR-REAR RH"</f>
        <v>DOOR-REAR RH</v>
      </c>
      <c r="C9604">
        <v>1</v>
      </c>
      <c r="D9604">
        <v>8019.24</v>
      </c>
    </row>
    <row r="9605" spans="1:4">
      <c r="A9605" t="str">
        <f>"H2100-9U0MA"</f>
        <v>H2100-9U0MA</v>
      </c>
      <c r="B9605" t="str">
        <f>"Дверь задняя пра"</f>
        <v>Дверь задняя пра</v>
      </c>
      <c r="C9605">
        <v>1</v>
      </c>
      <c r="D9605">
        <v>10640.232</v>
      </c>
    </row>
    <row r="9606" spans="1:4">
      <c r="A9606" t="str">
        <f>"H2100-CG0MM"</f>
        <v>H2100-CG0MM</v>
      </c>
      <c r="B9606" t="str">
        <f>"DOOR-REAR"</f>
        <v>DOOR-REAR</v>
      </c>
      <c r="C9606">
        <v>1</v>
      </c>
      <c r="D9606">
        <v>21140.927999999996</v>
      </c>
    </row>
    <row r="9607" spans="1:4">
      <c r="A9607" t="str">
        <f>"H2100-JD0MC"</f>
        <v>H2100-JD0MC</v>
      </c>
      <c r="B9607" t="str">
        <f>"Дверь задняя пра"</f>
        <v>Дверь задняя пра</v>
      </c>
      <c r="C9607">
        <v>0</v>
      </c>
      <c r="D9607">
        <v>12393.816000000001</v>
      </c>
    </row>
    <row r="9608" spans="1:4">
      <c r="A9608" t="str">
        <f>"H2100-VD3MM"</f>
        <v>H2100-VD3MM</v>
      </c>
      <c r="B9608" t="str">
        <f>"Дверь задняя пра"</f>
        <v>Дверь задняя пра</v>
      </c>
      <c r="C9608">
        <v>1</v>
      </c>
      <c r="D9608">
        <v>20826.768</v>
      </c>
    </row>
    <row r="9609" spans="1:4">
      <c r="A9609" t="str">
        <f>"H2101-2N3CE"</f>
        <v>H2101-2N3CE</v>
      </c>
      <c r="B9609" t="str">
        <f>"DOOR-REAR LH"</f>
        <v>DOOR-REAR LH</v>
      </c>
      <c r="C9609">
        <v>1</v>
      </c>
      <c r="D9609">
        <v>8441.1119999999992</v>
      </c>
    </row>
    <row r="9610" spans="1:4">
      <c r="A9610" t="str">
        <f>"H2101-CG0MM"</f>
        <v>H2101-CG0MM</v>
      </c>
      <c r="B9610" t="str">
        <f>"DOOR-REAR,LH"</f>
        <v>DOOR-REAR,LH</v>
      </c>
      <c r="C9610">
        <v>2</v>
      </c>
      <c r="D9610">
        <v>21140.927999999996</v>
      </c>
    </row>
    <row r="9611" spans="1:4">
      <c r="A9611" t="str">
        <f>"H2101-EL430"</f>
        <v>H2101-EL430</v>
      </c>
      <c r="B9611" t="str">
        <f t="shared" ref="B9611:B9623" si="195">"Дверь задняя лев"</f>
        <v>Дверь задняя лев</v>
      </c>
      <c r="C9611">
        <v>3</v>
      </c>
      <c r="D9611">
        <v>11228.975999999999</v>
      </c>
    </row>
    <row r="9612" spans="1:4">
      <c r="A9612" t="str">
        <f>"H2101-JD0M0"</f>
        <v>H2101-JD0M0</v>
      </c>
      <c r="B9612" t="str">
        <f t="shared" si="195"/>
        <v>Дверь задняя лев</v>
      </c>
      <c r="C9612">
        <v>0</v>
      </c>
      <c r="D9612">
        <v>12393.816000000001</v>
      </c>
    </row>
    <row r="9613" spans="1:4">
      <c r="A9613" t="str">
        <f>"H2101-VD3MM"</f>
        <v>H2101-VD3MM</v>
      </c>
      <c r="B9613" t="str">
        <f t="shared" si="195"/>
        <v>Дверь задняя лев</v>
      </c>
      <c r="C9613">
        <v>2</v>
      </c>
      <c r="D9613">
        <v>18005.04</v>
      </c>
    </row>
    <row r="9614" spans="1:4">
      <c r="A9614" t="str">
        <f>"H210A-1CAMA"</f>
        <v>H210A-1CAMA</v>
      </c>
      <c r="B9614" t="str">
        <f t="shared" si="195"/>
        <v>Дверь задняя лев</v>
      </c>
      <c r="C9614">
        <v>2</v>
      </c>
      <c r="D9614">
        <v>21076.056</v>
      </c>
    </row>
    <row r="9615" spans="1:4">
      <c r="A9615" t="str">
        <f>"H210A-3Y5MA"</f>
        <v>H210A-3Y5MA</v>
      </c>
      <c r="B9615" t="str">
        <f t="shared" si="195"/>
        <v>Дверь задняя лев</v>
      </c>
      <c r="C9615">
        <v>1</v>
      </c>
      <c r="D9615">
        <v>18416.712</v>
      </c>
    </row>
    <row r="9616" spans="1:4">
      <c r="A9616" t="str">
        <f>"H210A-8H7MA"</f>
        <v>H210A-8H7MA</v>
      </c>
      <c r="B9616" t="str">
        <f t="shared" si="195"/>
        <v>Дверь задняя лев</v>
      </c>
      <c r="C9616">
        <v>1</v>
      </c>
      <c r="D9616">
        <v>16814.088</v>
      </c>
    </row>
    <row r="9617" spans="1:4">
      <c r="A9617" t="str">
        <f>"H210A-9W5MA"</f>
        <v>H210A-9W5MA</v>
      </c>
      <c r="B9617" t="str">
        <f t="shared" si="195"/>
        <v>Дверь задняя лев</v>
      </c>
      <c r="C9617">
        <v>3</v>
      </c>
      <c r="D9617">
        <v>18298.8</v>
      </c>
    </row>
    <row r="9618" spans="1:4">
      <c r="A9618" t="str">
        <f>"H210A-CB0MA"</f>
        <v>H210A-CB0MA</v>
      </c>
      <c r="B9618" t="str">
        <f t="shared" si="195"/>
        <v>Дверь задняя лев</v>
      </c>
      <c r="C9618">
        <v>1</v>
      </c>
      <c r="D9618">
        <v>18360</v>
      </c>
    </row>
    <row r="9619" spans="1:4">
      <c r="A9619" t="str">
        <f>"H210A-CL7MA"</f>
        <v>H210A-CL7MA</v>
      </c>
      <c r="B9619" t="str">
        <f t="shared" si="195"/>
        <v>Дверь задняя лев</v>
      </c>
      <c r="C9619">
        <v>1</v>
      </c>
      <c r="D9619">
        <v>21135.624</v>
      </c>
    </row>
    <row r="9620" spans="1:4">
      <c r="A9620" t="str">
        <f>"H210A-EG0MB"</f>
        <v>H210A-EG0MB</v>
      </c>
      <c r="B9620" t="str">
        <f t="shared" si="195"/>
        <v>Дверь задняя лев</v>
      </c>
      <c r="C9620">
        <v>1</v>
      </c>
      <c r="D9620">
        <v>24656.256000000001</v>
      </c>
    </row>
    <row r="9621" spans="1:4">
      <c r="A9621" t="str">
        <f>"H210A-JG0MA"</f>
        <v>H210A-JG0MA</v>
      </c>
      <c r="B9621" t="str">
        <f t="shared" si="195"/>
        <v>Дверь задняя лев</v>
      </c>
      <c r="C9621">
        <v>0</v>
      </c>
      <c r="D9621">
        <v>17111.928</v>
      </c>
    </row>
    <row r="9622" spans="1:4">
      <c r="A9622" t="str">
        <f>"H210A-JK0MA"</f>
        <v>H210A-JK0MA</v>
      </c>
      <c r="B9622" t="str">
        <f t="shared" si="195"/>
        <v>Дверь задняя лев</v>
      </c>
      <c r="C9622">
        <v>3</v>
      </c>
      <c r="D9622">
        <v>19224.552</v>
      </c>
    </row>
    <row r="9623" spans="1:4">
      <c r="A9623" t="str">
        <f>"H210A-JN2AA"</f>
        <v>H210A-JN2AA</v>
      </c>
      <c r="B9623" t="str">
        <f t="shared" si="195"/>
        <v>Дверь задняя лев</v>
      </c>
      <c r="C9623">
        <v>1</v>
      </c>
      <c r="D9623">
        <v>18894.48</v>
      </c>
    </row>
    <row r="9624" spans="1:4">
      <c r="A9624" t="str">
        <f>"H210M-1BAMA"</f>
        <v>H210M-1BAMA</v>
      </c>
      <c r="B9624" t="str">
        <f t="shared" ref="B9624:B9632" si="196">"Дверь задняя пра"</f>
        <v>Дверь задняя пра</v>
      </c>
      <c r="C9624">
        <v>1</v>
      </c>
      <c r="D9624">
        <v>15814.487999999999</v>
      </c>
    </row>
    <row r="9625" spans="1:4">
      <c r="A9625" t="str">
        <f>"H210M-1CAMA"</f>
        <v>H210M-1CAMA</v>
      </c>
      <c r="B9625" t="str">
        <f t="shared" si="196"/>
        <v>Дверь задняя пра</v>
      </c>
      <c r="C9625">
        <v>3</v>
      </c>
      <c r="D9625">
        <v>21073.200000000001</v>
      </c>
    </row>
    <row r="9626" spans="1:4">
      <c r="A9626" t="str">
        <f>"H210M-8H7MA"</f>
        <v>H210M-8H7MA</v>
      </c>
      <c r="B9626" t="str">
        <f t="shared" si="196"/>
        <v>Дверь задняя пра</v>
      </c>
      <c r="C9626">
        <v>0</v>
      </c>
      <c r="D9626">
        <v>16814.088</v>
      </c>
    </row>
    <row r="9627" spans="1:4">
      <c r="A9627" t="str">
        <f>"H210M-9W5MA"</f>
        <v>H210M-9W5MA</v>
      </c>
      <c r="B9627" t="str">
        <f t="shared" si="196"/>
        <v>Дверь задняя пра</v>
      </c>
      <c r="C9627">
        <v>2</v>
      </c>
      <c r="D9627">
        <v>18298.8</v>
      </c>
    </row>
    <row r="9628" spans="1:4">
      <c r="A9628" t="str">
        <f>"H210M-CB0MA"</f>
        <v>H210M-CB0MA</v>
      </c>
      <c r="B9628" t="str">
        <f t="shared" si="196"/>
        <v>Дверь задняя пра</v>
      </c>
      <c r="C9628">
        <v>1</v>
      </c>
      <c r="D9628">
        <v>18894.48</v>
      </c>
    </row>
    <row r="9629" spans="1:4">
      <c r="A9629" t="str">
        <f>"H210M-CL7MA"</f>
        <v>H210M-CL7MA</v>
      </c>
      <c r="B9629" t="str">
        <f t="shared" si="196"/>
        <v>Дверь задняя пра</v>
      </c>
      <c r="C9629">
        <v>1</v>
      </c>
      <c r="D9629">
        <v>23205.815999999999</v>
      </c>
    </row>
    <row r="9630" spans="1:4">
      <c r="A9630" t="str">
        <f>"H210M-JG0MA"</f>
        <v>H210M-JG0MA</v>
      </c>
      <c r="B9630" t="str">
        <f t="shared" si="196"/>
        <v>Дверь задняя пра</v>
      </c>
      <c r="C9630">
        <v>2</v>
      </c>
      <c r="D9630">
        <v>17111.928</v>
      </c>
    </row>
    <row r="9631" spans="1:4">
      <c r="A9631" t="str">
        <f>"H210M-JK0MA"</f>
        <v>H210M-JK0MA</v>
      </c>
      <c r="B9631" t="str">
        <f t="shared" si="196"/>
        <v>Дверь задняя пра</v>
      </c>
      <c r="C9631">
        <v>2</v>
      </c>
      <c r="D9631">
        <v>19259.64</v>
      </c>
    </row>
    <row r="9632" spans="1:4">
      <c r="A9632" t="str">
        <f>"H210M-JN2AA"</f>
        <v>H210M-JN2AA</v>
      </c>
      <c r="B9632" t="str">
        <f t="shared" si="196"/>
        <v>Дверь задняя пра</v>
      </c>
      <c r="C9632">
        <v>1</v>
      </c>
      <c r="D9632">
        <v>18894.48</v>
      </c>
    </row>
    <row r="9633" spans="1:4">
      <c r="A9633" t="str">
        <f>"H2606-4X0AA"</f>
        <v>H2606-4X0AA</v>
      </c>
      <c r="B9633" t="str">
        <f>"Ручка двери прав"</f>
        <v>Ручка двери прав</v>
      </c>
      <c r="C9633">
        <v>14</v>
      </c>
      <c r="D9633">
        <v>1893.12</v>
      </c>
    </row>
    <row r="9634" spans="1:4">
      <c r="A9634" t="str">
        <f>"H2607-4X0AA"</f>
        <v>H2607-4X0AA</v>
      </c>
      <c r="B9634" t="str">
        <f>"Ручка двери лева"</f>
        <v>Ручка двери лева</v>
      </c>
      <c r="C9634">
        <v>0</v>
      </c>
      <c r="D9634">
        <v>1869.864</v>
      </c>
    </row>
    <row r="9635" spans="1:4">
      <c r="A9635" t="str">
        <f>"H430M-9W4AB"</f>
        <v>H430M-9W4AB</v>
      </c>
      <c r="B9635" t="str">
        <f>"Крышка багажника"</f>
        <v>Крышка багажника</v>
      </c>
      <c r="C9635">
        <v>2</v>
      </c>
      <c r="D9635">
        <v>17722.703999999998</v>
      </c>
    </row>
    <row r="9636" spans="1:4">
      <c r="A9636" t="str">
        <f>"H430M-9W4MB"</f>
        <v>H430M-9W4MB</v>
      </c>
      <c r="B9636" t="str">
        <f>"Крышка багажника"</f>
        <v>Крышка багажника</v>
      </c>
      <c r="C9636">
        <v>1</v>
      </c>
      <c r="D9636">
        <v>15511.751999999999</v>
      </c>
    </row>
    <row r="9637" spans="1:4">
      <c r="A9637" t="str">
        <f>"H430M-JN9AA"</f>
        <v>H430M-JN9AA</v>
      </c>
      <c r="B9637" t="str">
        <f>"Крышка багажника"</f>
        <v>Крышка багажника</v>
      </c>
      <c r="C9637">
        <v>0</v>
      </c>
      <c r="D9637">
        <v>17631.311999999998</v>
      </c>
    </row>
    <row r="9638" spans="1:4">
      <c r="A9638" t="str">
        <f>"H430M-JN9MA"</f>
        <v>H430M-JN9MA</v>
      </c>
      <c r="B9638" t="str">
        <f>"Крышка багажника"</f>
        <v>Крышка багажника</v>
      </c>
      <c r="C9638">
        <v>2</v>
      </c>
      <c r="D9638">
        <v>16141.295999999998</v>
      </c>
    </row>
    <row r="9639" spans="1:4">
      <c r="A9639" t="str">
        <f>"H4906-9Y905"</f>
        <v>H4906-9Y905</v>
      </c>
      <c r="B9639" t="str">
        <f>"ПОДДОН БАГ J31 узк ч"</f>
        <v>ПОДДОН БАГ J31 узк ч</v>
      </c>
      <c r="C9639">
        <v>1</v>
      </c>
      <c r="D9639">
        <v>2954.328</v>
      </c>
    </row>
    <row r="9640" spans="1:4">
      <c r="A9640" t="str">
        <f>"H4906-JH100"</f>
        <v>H4906-JH100</v>
      </c>
      <c r="B9640" t="str">
        <f>"Крышка пола багажног"</f>
        <v>Крышка пола багажног</v>
      </c>
      <c r="C9640">
        <v>0</v>
      </c>
      <c r="D9640">
        <v>13466.448</v>
      </c>
    </row>
    <row r="9641" spans="1:4">
      <c r="A9641" t="str">
        <f>"H5022-5X0MH"</f>
        <v>H5022-5X0MH</v>
      </c>
      <c r="B9641" t="str">
        <f>"Бампер задний"</f>
        <v>Бампер задний</v>
      </c>
      <c r="C9641">
        <v>1</v>
      </c>
      <c r="D9641">
        <v>15982.991999999998</v>
      </c>
    </row>
    <row r="9642" spans="1:4">
      <c r="A9642" t="str">
        <f>"H5022-EB320"</f>
        <v>H5022-EB320</v>
      </c>
      <c r="B9642" t="str">
        <f>"FASCIA KIT-REAR"</f>
        <v>FASCIA KIT-REAR</v>
      </c>
      <c r="C9642">
        <v>2</v>
      </c>
      <c r="D9642">
        <v>13123.32</v>
      </c>
    </row>
    <row r="9643" spans="1:4">
      <c r="A9643" t="str">
        <f>"H5022-VD226"</f>
        <v>H5022-VD226</v>
      </c>
      <c r="B9643" t="str">
        <f>"Бампер задний"</f>
        <v>Бампер задний</v>
      </c>
      <c r="C9643">
        <v>9</v>
      </c>
      <c r="D9643">
        <v>10662.671999999999</v>
      </c>
    </row>
    <row r="9644" spans="1:4">
      <c r="A9644" t="str">
        <f>"H5025-0W427"</f>
        <v>H5025-0W427</v>
      </c>
      <c r="B9644" t="str">
        <f>"BUMPER-SIDE,LH"</f>
        <v>BUMPER-SIDE,LH</v>
      </c>
      <c r="C9644">
        <v>1</v>
      </c>
      <c r="D9644">
        <v>4016.3519999999999</v>
      </c>
    </row>
    <row r="9645" spans="1:4">
      <c r="A9645" t="str">
        <f>"H5030-EM3MA"</f>
        <v>H5030-EM3MA</v>
      </c>
      <c r="B9645" t="str">
        <f>"КРОНШТЕЙН"</f>
        <v>КРОНШТЕЙН</v>
      </c>
      <c r="C9645">
        <v>1</v>
      </c>
      <c r="D9645">
        <v>4564.2959999999994</v>
      </c>
    </row>
    <row r="9646" spans="1:4">
      <c r="A9646" t="str">
        <f>"H5210-EM3MA"</f>
        <v>H5210-EM3MA</v>
      </c>
      <c r="B9646" t="str">
        <f>"Кронштейн заднего ба"</f>
        <v>Кронштейн заднего ба</v>
      </c>
      <c r="C9646">
        <v>5</v>
      </c>
      <c r="D9646">
        <v>1033.4639999999999</v>
      </c>
    </row>
    <row r="9647" spans="1:4">
      <c r="A9647" t="str">
        <f>"H5211-EM3MA"</f>
        <v>H5211-EM3MA</v>
      </c>
      <c r="B9647" t="str">
        <f>"Кронштейн бампер"</f>
        <v>Кронштейн бампер</v>
      </c>
      <c r="C9647">
        <v>1</v>
      </c>
      <c r="D9647">
        <v>1033.4639999999999</v>
      </c>
    </row>
    <row r="9648" spans="1:4">
      <c r="A9648" t="str">
        <f>"H5M22-3Y125"</f>
        <v>H5M22-3Y125</v>
      </c>
      <c r="B9648" t="str">
        <f t="shared" ref="B9648:B9656" si="197">"Бампер задний"</f>
        <v>Бампер задний</v>
      </c>
      <c r="C9648">
        <v>5</v>
      </c>
      <c r="D9648">
        <v>11344.848</v>
      </c>
    </row>
    <row r="9649" spans="1:4">
      <c r="A9649" t="str">
        <f>"H5M22-8H326"</f>
        <v>H5M22-8H326</v>
      </c>
      <c r="B9649" t="str">
        <f t="shared" si="197"/>
        <v>Бампер задний</v>
      </c>
      <c r="C9649">
        <v>0</v>
      </c>
      <c r="D9649">
        <v>9378.2879999999986</v>
      </c>
    </row>
    <row r="9650" spans="1:4">
      <c r="A9650" t="str">
        <f>"H5M22-8M125"</f>
        <v>H5M22-8M125</v>
      </c>
      <c r="B9650" t="str">
        <f t="shared" si="197"/>
        <v>Бампер задний</v>
      </c>
      <c r="C9650">
        <v>1</v>
      </c>
      <c r="D9650">
        <v>5712</v>
      </c>
    </row>
    <row r="9651" spans="1:4">
      <c r="A9651" t="str">
        <f>"H5M22-9W60J"</f>
        <v>H5M22-9W60J</v>
      </c>
      <c r="B9651" t="str">
        <f t="shared" si="197"/>
        <v>Бампер задний</v>
      </c>
      <c r="C9651">
        <v>4</v>
      </c>
      <c r="D9651">
        <v>11646.359999999999</v>
      </c>
    </row>
    <row r="9652" spans="1:4">
      <c r="A9652" t="str">
        <f>"H5M22-CA040"</f>
        <v>H5M22-CA040</v>
      </c>
      <c r="B9652" t="str">
        <f t="shared" si="197"/>
        <v>Бампер задний</v>
      </c>
      <c r="C9652">
        <v>3</v>
      </c>
      <c r="D9652">
        <v>11518.248000000001</v>
      </c>
    </row>
    <row r="9653" spans="1:4">
      <c r="A9653" t="str">
        <f>"H5M22-CG025"</f>
        <v>H5M22-CG025</v>
      </c>
      <c r="B9653" t="str">
        <f t="shared" si="197"/>
        <v>Бампер задний</v>
      </c>
      <c r="C9653">
        <v>9</v>
      </c>
      <c r="D9653">
        <v>16089.887999999999</v>
      </c>
    </row>
    <row r="9654" spans="1:4">
      <c r="A9654" t="str">
        <f>"H5M22-CM80J"</f>
        <v>H5M22-CM80J</v>
      </c>
      <c r="B9654" t="str">
        <f t="shared" si="197"/>
        <v>Бампер задний</v>
      </c>
      <c r="C9654">
        <v>4</v>
      </c>
      <c r="D9654">
        <v>14105.784</v>
      </c>
    </row>
    <row r="9655" spans="1:4">
      <c r="A9655" t="str">
        <f>"H5M22-EH140"</f>
        <v>H5M22-EH140</v>
      </c>
      <c r="B9655" t="str">
        <f t="shared" si="197"/>
        <v>Бампер задний</v>
      </c>
      <c r="C9655">
        <v>6</v>
      </c>
      <c r="D9655">
        <v>12447.263999999999</v>
      </c>
    </row>
    <row r="9656" spans="1:4">
      <c r="A9656" t="str">
        <f>"H5M22-EQ025"</f>
        <v>H5M22-EQ025</v>
      </c>
      <c r="B9656" t="str">
        <f t="shared" si="197"/>
        <v>Бампер задний</v>
      </c>
      <c r="C9656">
        <v>3</v>
      </c>
      <c r="D9656">
        <v>8758.9439999999995</v>
      </c>
    </row>
    <row r="9657" spans="1:4">
      <c r="A9657" t="str">
        <f>"J6374-4M401"</f>
        <v>J6374-4M401</v>
      </c>
      <c r="B9657" t="str">
        <f>"COVER-MIRR BODY"</f>
        <v>COVER-MIRR BODY</v>
      </c>
      <c r="C9657">
        <v>1</v>
      </c>
      <c r="D9657">
        <v>830.68799999999999</v>
      </c>
    </row>
    <row r="9658" spans="1:4">
      <c r="A9658" t="str">
        <f>"K0100-2W0MF"</f>
        <v>K0100-2W0MF</v>
      </c>
      <c r="B9658" t="str">
        <f>"DOOR BACK"</f>
        <v>DOOR BACK</v>
      </c>
      <c r="C9658">
        <v>2</v>
      </c>
      <c r="D9658">
        <v>8441.1119999999992</v>
      </c>
    </row>
    <row r="9659" spans="1:4">
      <c r="A9659" t="str">
        <f>"K0100-BR0MA"</f>
        <v>K0100-BR0MA</v>
      </c>
      <c r="B9659" t="str">
        <f>"K0100-JD1MC"</f>
        <v>K0100-JD1MC</v>
      </c>
      <c r="C9659">
        <v>1</v>
      </c>
      <c r="D9659">
        <v>18889.583999999999</v>
      </c>
    </row>
    <row r="9660" spans="1:4">
      <c r="A9660" t="str">
        <f>"K0100-BR0MB"</f>
        <v>K0100-BR0MB</v>
      </c>
      <c r="B9660" t="str">
        <f>"Дверь задняя"</f>
        <v>Дверь задняя</v>
      </c>
      <c r="C9660">
        <v>1</v>
      </c>
      <c r="D9660">
        <v>18889.583999999999</v>
      </c>
    </row>
    <row r="9661" spans="1:4">
      <c r="A9661" t="str">
        <f>"K0100-ZW4MA"</f>
        <v>K0100-ZW4MA</v>
      </c>
      <c r="B9661" t="str">
        <f>"Дверь задняя"</f>
        <v>Дверь задняя</v>
      </c>
      <c r="C9661">
        <v>0</v>
      </c>
      <c r="D9661">
        <v>13815.696</v>
      </c>
    </row>
    <row r="9662" spans="1:4">
      <c r="A9662" t="str">
        <f>"K010M-ES6MB"</f>
        <v>K010M-ES6MB</v>
      </c>
      <c r="B9662" t="str">
        <f>"Дверь задняя"</f>
        <v>Дверь задняя</v>
      </c>
      <c r="C9662">
        <v>0</v>
      </c>
      <c r="D9662">
        <v>23811.696</v>
      </c>
    </row>
    <row r="9663" spans="1:4">
      <c r="A9663" t="str">
        <f>"K010M-JG4EA"</f>
        <v>K010M-JG4EA</v>
      </c>
      <c r="B9663" t="str">
        <f>"Дверь задняя"</f>
        <v>Дверь задняя</v>
      </c>
      <c r="C9663">
        <v>3</v>
      </c>
      <c r="D9663">
        <v>22937.351999999999</v>
      </c>
    </row>
    <row r="9664" spans="1:4">
      <c r="A9664" t="str">
        <f>"K010M-JG4EB"</f>
        <v>K010M-JG4EB</v>
      </c>
      <c r="B9664" t="str">
        <f>"Дверь задняя"</f>
        <v>Дверь задняя</v>
      </c>
      <c r="C9664">
        <v>3</v>
      </c>
      <c r="D9664">
        <v>25049.16</v>
      </c>
    </row>
    <row r="9665" spans="1:4">
      <c r="A9665" t="str">
        <f>"K0300-1AA0A"</f>
        <v>K0300-1AA0A</v>
      </c>
      <c r="B9665" t="str">
        <f>"Стекло задней дв"</f>
        <v>Стекло задней дв</v>
      </c>
      <c r="C9665">
        <v>4</v>
      </c>
      <c r="D9665">
        <v>34522.511999999995</v>
      </c>
    </row>
    <row r="9666" spans="1:4">
      <c r="A9666" t="str">
        <f>"K0300-JG00B"</f>
        <v>K0300-JG00B</v>
      </c>
      <c r="B9666" t="str">
        <f>"Стекло задней дв"</f>
        <v>Стекло задней дв</v>
      </c>
      <c r="C9666">
        <v>3</v>
      </c>
      <c r="D9666">
        <v>24040.583999999999</v>
      </c>
    </row>
    <row r="9667" spans="1:4">
      <c r="A9667" t="str">
        <f>"K0300-JG10B"</f>
        <v>K0300-JG10B</v>
      </c>
      <c r="B9667" t="str">
        <f>"Стекло задней дв"</f>
        <v>Стекло задней дв</v>
      </c>
      <c r="C9667">
        <v>9</v>
      </c>
      <c r="D9667">
        <v>27604.056</v>
      </c>
    </row>
    <row r="9668" spans="1:4">
      <c r="A9668" t="str">
        <f>"K0312-ZQ50A"</f>
        <v>K0312-ZQ50A</v>
      </c>
      <c r="B9668" t="str">
        <f>"Стекло задней дв"</f>
        <v>Стекло задней дв</v>
      </c>
      <c r="C9668">
        <v>2</v>
      </c>
      <c r="D9668">
        <v>22701.527999999998</v>
      </c>
    </row>
    <row r="9669" spans="1:4">
      <c r="A9669" t="str">
        <f>"K0450-EQ30B"</f>
        <v>K0450-EQ30B</v>
      </c>
      <c r="B9669" t="str">
        <f>"Стойка пятой две"</f>
        <v>Стойка пятой две</v>
      </c>
      <c r="C9669">
        <v>2</v>
      </c>
      <c r="D9669">
        <v>3751.9679999999998</v>
      </c>
    </row>
    <row r="9670" spans="1:4">
      <c r="A9670" t="str">
        <f>"K0451-8H31B"</f>
        <v>K0451-8H31B</v>
      </c>
      <c r="B9670" t="str">
        <f>"Стойка пятой две"</f>
        <v>Стойка пятой две</v>
      </c>
      <c r="C9670">
        <v>1</v>
      </c>
      <c r="D9670">
        <v>2774.4</v>
      </c>
    </row>
    <row r="9671" spans="1:4">
      <c r="A9671" t="str">
        <f>"K0451-EQ30B"</f>
        <v>K0451-EQ30B</v>
      </c>
      <c r="B9671" t="str">
        <f>"Стойка пятой две"</f>
        <v>Стойка пятой две</v>
      </c>
      <c r="C9671">
        <v>5</v>
      </c>
      <c r="D9671">
        <v>3737.2799999999997</v>
      </c>
    </row>
    <row r="9672" spans="1:4">
      <c r="A9672" t="str">
        <f>"K3828-1W308"</f>
        <v>K3828-1W308</v>
      </c>
      <c r="B9672" t="str">
        <f>"НАДКРЫЛОК"</f>
        <v>НАДКРЫЛОК</v>
      </c>
      <c r="C9672">
        <v>1</v>
      </c>
      <c r="D9672">
        <v>3798.48</v>
      </c>
    </row>
    <row r="9673" spans="1:4">
      <c r="A9673" t="str">
        <f>"K6301-BN2AB"</f>
        <v>K6301-BN2AB</v>
      </c>
      <c r="B9673" t="str">
        <f>"Зеркало двери наружн"</f>
        <v>Зеркало двери наружн</v>
      </c>
      <c r="C9673">
        <v>2</v>
      </c>
      <c r="D9673">
        <v>7707.12</v>
      </c>
    </row>
    <row r="9674" spans="1:4">
      <c r="A9674" t="str">
        <f>"K6301-EQ04C"</f>
        <v>K6301-EQ04C</v>
      </c>
      <c r="B9674" t="str">
        <f>"Зеркало двери наружн"</f>
        <v>Зеркало двери наружн</v>
      </c>
      <c r="C9674">
        <v>0</v>
      </c>
      <c r="D9674">
        <v>6426.4080000000004</v>
      </c>
    </row>
    <row r="9675" spans="1:4">
      <c r="A9675" t="str">
        <f>"K6301-EQ06A"</f>
        <v>K6301-EQ06A</v>
      </c>
      <c r="B9675" t="str">
        <f>"Зеркало двери наружн"</f>
        <v>Зеркало двери наружн</v>
      </c>
      <c r="C9675">
        <v>1</v>
      </c>
      <c r="D9675">
        <v>5415.7919999999995</v>
      </c>
    </row>
    <row r="9676" spans="1:4">
      <c r="A9676" t="str">
        <f>"K6301-VD31A"</f>
        <v>K6301-VD31A</v>
      </c>
      <c r="B9676" t="str">
        <f>"Зеркало двери наружн"</f>
        <v>Зеркало двери наружн</v>
      </c>
      <c r="C9676">
        <v>5</v>
      </c>
      <c r="D9676">
        <v>7420.7039999999997</v>
      </c>
    </row>
    <row r="9677" spans="1:4">
      <c r="A9677" t="str">
        <f>"K6302-44U02"</f>
        <v>K6302-44U02</v>
      </c>
      <c r="B9677" t="str">
        <f>"MIRROR ASSY-OUT"</f>
        <v>MIRROR ASSY-OUT</v>
      </c>
      <c r="C9677">
        <v>1</v>
      </c>
      <c r="D9677">
        <v>6689.9759999999997</v>
      </c>
    </row>
    <row r="9678" spans="1:4">
      <c r="A9678" t="str">
        <f>"K6302-BN2AB"</f>
        <v>K6302-BN2AB</v>
      </c>
      <c r="B9678" t="str">
        <f>"Зеркало двери наружн"</f>
        <v>Зеркало двери наружн</v>
      </c>
      <c r="C9678">
        <v>8</v>
      </c>
      <c r="D9678">
        <v>6891.9359999999997</v>
      </c>
    </row>
    <row r="9679" spans="1:4">
      <c r="A9679" t="str">
        <f>"K6302-BN2MA"</f>
        <v>K6302-BN2MA</v>
      </c>
      <c r="B9679" t="str">
        <f>"Зеркало двери наружн"</f>
        <v>Зеркало двери наружн</v>
      </c>
      <c r="C9679">
        <v>2</v>
      </c>
      <c r="D9679">
        <v>7275.0479999999998</v>
      </c>
    </row>
    <row r="9680" spans="1:4">
      <c r="A9680" t="str">
        <f>"K6302-EQ04C"</f>
        <v>K6302-EQ04C</v>
      </c>
      <c r="B9680" t="str">
        <f>"Зеркало двери наружн"</f>
        <v>Зеркало двери наружн</v>
      </c>
      <c r="C9680">
        <v>13</v>
      </c>
      <c r="D9680">
        <v>5927.0160000000005</v>
      </c>
    </row>
    <row r="9681" spans="1:4">
      <c r="A9681" t="str">
        <f>"K6302-EQ06A"</f>
        <v>K6302-EQ06A</v>
      </c>
      <c r="B9681" t="str">
        <f>"Зеркало двери наружн"</f>
        <v>Зеркало двери наружн</v>
      </c>
      <c r="C9681">
        <v>12</v>
      </c>
      <c r="D9681">
        <v>5068.1759999999995</v>
      </c>
    </row>
    <row r="9682" spans="1:4">
      <c r="A9682" t="str">
        <f>"K6302-VD31A"</f>
        <v>K6302-VD31A</v>
      </c>
      <c r="B9682" t="str">
        <f>"Зеркало двери наружн"</f>
        <v>Зеркало двери наружн</v>
      </c>
      <c r="C9682">
        <v>6</v>
      </c>
      <c r="D9682">
        <v>7469.6639999999998</v>
      </c>
    </row>
    <row r="9683" spans="1:4">
      <c r="A9683" t="str">
        <f>"K6373-1BA0A"</f>
        <v>K6373-1BA0A</v>
      </c>
      <c r="B9683" t="str">
        <f>"Крышка зеркала"</f>
        <v>Крышка зеркала</v>
      </c>
      <c r="C9683">
        <v>6</v>
      </c>
      <c r="D9683">
        <v>1367.616</v>
      </c>
    </row>
    <row r="9684" spans="1:4">
      <c r="A9684" t="str">
        <f>"K6373-2Y20A"</f>
        <v>K6373-2Y20A</v>
      </c>
      <c r="B9684" t="str">
        <f>"Крышка зеркала"</f>
        <v>Крышка зеркала</v>
      </c>
      <c r="C9684">
        <v>7</v>
      </c>
      <c r="D9684">
        <v>1156.2719999999999</v>
      </c>
    </row>
    <row r="9685" spans="1:4">
      <c r="A9685" t="str">
        <f>"K6373-9Y001"</f>
        <v>K6373-9Y001</v>
      </c>
      <c r="B9685" t="str">
        <f>"Крышка зеркала"</f>
        <v>Крышка зеркала</v>
      </c>
      <c r="C9685">
        <v>5</v>
      </c>
      <c r="D9685">
        <v>1503.8879999999999</v>
      </c>
    </row>
    <row r="9686" spans="1:4">
      <c r="A9686" t="str">
        <f>"K6373-CA000"</f>
        <v>K6373-CA000</v>
      </c>
      <c r="B9686" t="str">
        <f>"COVER-MIRR BODY"</f>
        <v>COVER-MIRR BODY</v>
      </c>
      <c r="C9686">
        <v>12</v>
      </c>
      <c r="D9686">
        <v>1221.9599999999998</v>
      </c>
    </row>
    <row r="9687" spans="1:4">
      <c r="A9687" t="str">
        <f>"K6373-CG000"</f>
        <v>K6373-CG000</v>
      </c>
      <c r="B9687" t="str">
        <f>"COVER-MIRR BODY"</f>
        <v>COVER-MIRR BODY</v>
      </c>
      <c r="C9687">
        <v>9</v>
      </c>
      <c r="D9687">
        <v>1374.9599999999998</v>
      </c>
    </row>
    <row r="9688" spans="1:4">
      <c r="A9688" t="str">
        <f>"K6373-EN001"</f>
        <v>K6373-EN001</v>
      </c>
      <c r="B9688" t="str">
        <f t="shared" ref="B9688:B9694" si="198">"Крышка зеркала"</f>
        <v>Крышка зеркала</v>
      </c>
      <c r="C9688">
        <v>15</v>
      </c>
      <c r="D9688">
        <v>1380.2639999999999</v>
      </c>
    </row>
    <row r="9689" spans="1:4">
      <c r="A9689" t="str">
        <f>"K6373-JK000"</f>
        <v>K6373-JK000</v>
      </c>
      <c r="B9689" t="str">
        <f t="shared" si="198"/>
        <v>Крышка зеркала</v>
      </c>
      <c r="C9689">
        <v>5</v>
      </c>
      <c r="D9689">
        <v>1453.704</v>
      </c>
    </row>
    <row r="9690" spans="1:4">
      <c r="A9690" t="str">
        <f>"K6373-JL00A"</f>
        <v>K6373-JL00A</v>
      </c>
      <c r="B9690" t="str">
        <f t="shared" si="198"/>
        <v>Крышка зеркала</v>
      </c>
      <c r="C9690">
        <v>5</v>
      </c>
      <c r="D9690">
        <v>1461.048</v>
      </c>
    </row>
    <row r="9691" spans="1:4">
      <c r="A9691" t="str">
        <f>"K6373-JN00B"</f>
        <v>K6373-JN00B</v>
      </c>
      <c r="B9691" t="str">
        <f t="shared" si="198"/>
        <v>Крышка зеркала</v>
      </c>
      <c r="C9691">
        <v>11</v>
      </c>
      <c r="D9691">
        <v>1386.3839999999998</v>
      </c>
    </row>
    <row r="9692" spans="1:4">
      <c r="A9692" t="str">
        <f>"K6374-1BA0A"</f>
        <v>K6374-1BA0A</v>
      </c>
      <c r="B9692" t="str">
        <f t="shared" si="198"/>
        <v>Крышка зеркала</v>
      </c>
      <c r="C9692">
        <v>5</v>
      </c>
      <c r="D9692">
        <v>1256.2319999999997</v>
      </c>
    </row>
    <row r="9693" spans="1:4">
      <c r="A9693" t="str">
        <f>"K6374-2Y20A"</f>
        <v>K6374-2Y20A</v>
      </c>
      <c r="B9693" t="str">
        <f t="shared" si="198"/>
        <v>Крышка зеркала</v>
      </c>
      <c r="C9693">
        <v>4</v>
      </c>
      <c r="D9693">
        <v>1156.2719999999999</v>
      </c>
    </row>
    <row r="9694" spans="1:4">
      <c r="A9694" t="str">
        <f>"K6374-9Y001"</f>
        <v>K6374-9Y001</v>
      </c>
      <c r="B9694" t="str">
        <f t="shared" si="198"/>
        <v>Крышка зеркала</v>
      </c>
      <c r="C9694">
        <v>11</v>
      </c>
      <c r="D9694">
        <v>1891.8959999999997</v>
      </c>
    </row>
    <row r="9695" spans="1:4">
      <c r="A9695" t="str">
        <f>"K6374-CA000"</f>
        <v>K6374-CA000</v>
      </c>
      <c r="B9695" t="str">
        <f>"COVER-MIRR BODY"</f>
        <v>COVER-MIRR BODY</v>
      </c>
      <c r="C9695">
        <v>3</v>
      </c>
      <c r="D9695">
        <v>1386.3839999999998</v>
      </c>
    </row>
    <row r="9696" spans="1:4">
      <c r="A9696" t="str">
        <f>"K6374-CG000"</f>
        <v>K6374-CG000</v>
      </c>
      <c r="B9696" t="str">
        <f>"COVER MIRR BODY"</f>
        <v>COVER MIRR BODY</v>
      </c>
      <c r="C9696">
        <v>4</v>
      </c>
      <c r="D9696">
        <v>1371.6959999999999</v>
      </c>
    </row>
    <row r="9697" spans="1:4">
      <c r="A9697" t="str">
        <f>"K6374-EG100"</f>
        <v>K6374-EG100</v>
      </c>
      <c r="B9697" t="str">
        <f>"Крышка зеркала"</f>
        <v>Крышка зеркала</v>
      </c>
      <c r="C9697">
        <v>1</v>
      </c>
      <c r="D9697">
        <v>1632.4079999999999</v>
      </c>
    </row>
    <row r="9698" spans="1:4">
      <c r="A9698" t="str">
        <f>"K6374-EN001"</f>
        <v>K6374-EN001</v>
      </c>
      <c r="B9698" t="str">
        <f>"Крышка зеркала"</f>
        <v>Крышка зеркала</v>
      </c>
      <c r="C9698">
        <v>27</v>
      </c>
      <c r="D9698">
        <v>1221.5519999999999</v>
      </c>
    </row>
    <row r="9699" spans="1:4">
      <c r="A9699" t="str">
        <f>"K6374-JK000"</f>
        <v>K6374-JK000</v>
      </c>
      <c r="B9699" t="str">
        <f>"Крышка зеркала"</f>
        <v>Крышка зеркала</v>
      </c>
      <c r="C9699">
        <v>11</v>
      </c>
      <c r="D9699">
        <v>1429.6319999999998</v>
      </c>
    </row>
    <row r="9700" spans="1:4">
      <c r="A9700" t="str">
        <f>"K6374-JN00B"</f>
        <v>K6374-JN00B</v>
      </c>
      <c r="B9700" t="str">
        <f>"Крышка зеркала"</f>
        <v>Крышка зеркала</v>
      </c>
      <c r="C9700">
        <v>11</v>
      </c>
      <c r="D9700">
        <v>1294.1759999999999</v>
      </c>
    </row>
    <row r="9701" spans="1:4">
      <c r="A9701" t="str">
        <f>"K851E-CG010"</f>
        <v>K851E-CG010</v>
      </c>
      <c r="B9701" t="str">
        <f>"MODULE ASSY-AIR"</f>
        <v>MODULE ASSY-AIR</v>
      </c>
      <c r="C9701">
        <v>1</v>
      </c>
      <c r="D9701">
        <v>41857.128000000004</v>
      </c>
    </row>
    <row r="9702" spans="1:4">
      <c r="A9702" t="str">
        <f>"K8820-9H62E"</f>
        <v>K8820-9H62E</v>
      </c>
      <c r="B9702" t="str">
        <f>"Датчик подушки безоп"</f>
        <v>Датчик подушки безоп</v>
      </c>
      <c r="C9702">
        <v>1</v>
      </c>
      <c r="D9702">
        <v>12662.279999999999</v>
      </c>
    </row>
    <row r="9703" spans="1:4">
      <c r="A9703" t="str">
        <f>"K8820-9Y63E"</f>
        <v>K8820-9Y63E</v>
      </c>
      <c r="B9703" t="str">
        <f>"Датчик подушки безоп"</f>
        <v>Датчик подушки безоп</v>
      </c>
      <c r="C9703">
        <v>2</v>
      </c>
      <c r="D9703">
        <v>12566.4</v>
      </c>
    </row>
    <row r="9704" spans="1:4">
      <c r="A9704" t="str">
        <f>"K8820-CB90A"</f>
        <v>K8820-CB90A</v>
      </c>
      <c r="B9704" t="str">
        <f>"Датчик подушки безоп"</f>
        <v>Датчик подушки безоп</v>
      </c>
      <c r="C9704">
        <v>2</v>
      </c>
      <c r="D9704">
        <v>30369.48</v>
      </c>
    </row>
    <row r="9705" spans="1:4">
      <c r="A9705" t="str">
        <f>"K8820-CG10A"</f>
        <v>K8820-CG10A</v>
      </c>
      <c r="B9705" t="str">
        <f>"Датчик подушки безоп"</f>
        <v>Датчик подушки безоп</v>
      </c>
      <c r="C9705">
        <v>1</v>
      </c>
      <c r="D9705">
        <v>16286.951999999997</v>
      </c>
    </row>
    <row r="9706" spans="1:4">
      <c r="A9706" t="str">
        <f>"K8830-EG025"</f>
        <v>K8830-EG025</v>
      </c>
      <c r="B9706" t="str">
        <f>"Датчик подушки безоп"</f>
        <v>Датчик подушки безоп</v>
      </c>
      <c r="C9706">
        <v>1</v>
      </c>
      <c r="D9706">
        <v>7312.5839999999998</v>
      </c>
    </row>
    <row r="9707" spans="1:4">
      <c r="A9707" t="str">
        <f>"K8EHA-1L005"</f>
        <v>K8EHA-1L005</v>
      </c>
      <c r="B9707" t="str">
        <f>"MODULE,LH GAS"</f>
        <v>MODULE,LH GAS</v>
      </c>
      <c r="C9707">
        <v>1</v>
      </c>
      <c r="D9707">
        <v>3345.6</v>
      </c>
    </row>
    <row r="9708" spans="1:4">
      <c r="A9708" t="str">
        <f>"KE100-50000"</f>
        <v>KE100-50000</v>
      </c>
      <c r="B9708" t="str">
        <f>"Герметик"</f>
        <v>Герметик</v>
      </c>
      <c r="C9708">
        <v>0</v>
      </c>
      <c r="D9708">
        <v>1782.5519999999999</v>
      </c>
    </row>
    <row r="9709" spans="1:4">
      <c r="A9709" t="str">
        <f>"KE150-10001"</f>
        <v>KE150-10001</v>
      </c>
      <c r="B9709" t="str">
        <f>"К-т для вклейки стек"</f>
        <v>К-т для вклейки стек</v>
      </c>
      <c r="C9709">
        <v>5</v>
      </c>
      <c r="D9709">
        <v>1341.0959999999998</v>
      </c>
    </row>
    <row r="9710" spans="1:4">
      <c r="A9710" t="str">
        <f>"KE253-2Y000"</f>
        <v>KE253-2Y000</v>
      </c>
      <c r="B9710" t="str">
        <f>"ALARM UPG SYST"</f>
        <v>ALARM UPG SYST</v>
      </c>
      <c r="C9710">
        <v>3</v>
      </c>
      <c r="D9710">
        <v>1266.4319999999998</v>
      </c>
    </row>
    <row r="9711" spans="1:4">
      <c r="A9711" t="str">
        <f>"KE253-VB000"</f>
        <v>KE253-VB000</v>
      </c>
      <c r="B9711" t="str">
        <f>"ALARM UPGR Y61"</f>
        <v>ALARM UPGR Y61</v>
      </c>
      <c r="C9711">
        <v>4</v>
      </c>
      <c r="D9711">
        <v>1266.4319999999998</v>
      </c>
    </row>
    <row r="9712" spans="1:4">
      <c r="A9712" t="str">
        <f>"KE255-99961"</f>
        <v>KE255-99961</v>
      </c>
      <c r="B9712" t="str">
        <f>"LEVEL SENSOR LM"</f>
        <v>LEVEL SENSOR LM</v>
      </c>
      <c r="C9712">
        <v>5</v>
      </c>
      <c r="D9712">
        <v>4301.9520000000002</v>
      </c>
    </row>
    <row r="9713" spans="1:4">
      <c r="A9713" t="str">
        <f>"KE259-BM000"</f>
        <v>KE259-BM000</v>
      </c>
      <c r="B9713" t="str">
        <f>"ALARM SUB-KIT"</f>
        <v>ALARM SUB-KIT</v>
      </c>
      <c r="C9713">
        <v>9</v>
      </c>
      <c r="D9713">
        <v>1311.3119999999999</v>
      </c>
    </row>
    <row r="9714" spans="1:4">
      <c r="A9714" t="str">
        <f>"KE260-89110"</f>
        <v>KE260-89110</v>
      </c>
      <c r="B9714" t="str">
        <f>"H11LL BULB"</f>
        <v>H11LL BULB</v>
      </c>
      <c r="C9714">
        <v>19</v>
      </c>
      <c r="D9714">
        <v>405.14400000000001</v>
      </c>
    </row>
    <row r="9715" spans="1:4">
      <c r="A9715" t="str">
        <f>"KE260-89900"</f>
        <v>KE260-89900</v>
      </c>
      <c r="B9715" t="str">
        <f>"BULB H4 12V"</f>
        <v>BULB H4 12V</v>
      </c>
      <c r="C9715">
        <v>24</v>
      </c>
      <c r="D9715">
        <v>195.024</v>
      </c>
    </row>
    <row r="9716" spans="1:4">
      <c r="A9716" t="str">
        <f>"KE260-89910"</f>
        <v>KE260-89910</v>
      </c>
      <c r="B9716" t="str">
        <f>"BULB H1 12V/55W"</f>
        <v>BULB H1 12V/55W</v>
      </c>
      <c r="C9716">
        <v>0</v>
      </c>
      <c r="D9716">
        <v>158.71199999999999</v>
      </c>
    </row>
    <row r="9717" spans="1:4">
      <c r="A9717" t="str">
        <f>"KE260-89930"</f>
        <v>KE260-89930</v>
      </c>
      <c r="B9717" t="str">
        <f>"BULB H3 12V/55W"</f>
        <v>BULB H3 12V/55W</v>
      </c>
      <c r="C9717">
        <v>2</v>
      </c>
      <c r="D9717">
        <v>138.72</v>
      </c>
    </row>
    <row r="9718" spans="1:4">
      <c r="A9718" t="str">
        <f>"KE260-89970"</f>
        <v>KE260-89970</v>
      </c>
      <c r="B9718" t="str">
        <f>"BULB"</f>
        <v>BULB</v>
      </c>
      <c r="C9718">
        <v>515</v>
      </c>
      <c r="D9718">
        <v>403.512</v>
      </c>
    </row>
    <row r="9719" spans="1:4">
      <c r="A9719" t="str">
        <f>"KE260-89971"</f>
        <v>KE260-89971</v>
      </c>
      <c r="B9719" t="str">
        <f>"H7 LONG LIFE"</f>
        <v>H7 LONG LIFE</v>
      </c>
      <c r="C9719">
        <v>12</v>
      </c>
      <c r="D9719">
        <v>522.64800000000002</v>
      </c>
    </row>
    <row r="9720" spans="1:4">
      <c r="A9720" t="str">
        <f>"KE262-89900"</f>
        <v>KE262-89900</v>
      </c>
      <c r="B9720" t="str">
        <f>"BULB 12V 21/5W"</f>
        <v>BULB 12V 21/5W</v>
      </c>
      <c r="C9720">
        <v>9</v>
      </c>
      <c r="D9720">
        <v>36.311999999999998</v>
      </c>
    </row>
    <row r="9721" spans="1:4">
      <c r="A9721" t="str">
        <f>"KE262-89905"</f>
        <v>KE262-89905</v>
      </c>
      <c r="B9721" t="str">
        <f>"BULB 12V 21W"</f>
        <v>BULB 12V 21W</v>
      </c>
      <c r="C9721">
        <v>14</v>
      </c>
      <c r="D9721">
        <v>25.295999999999996</v>
      </c>
    </row>
    <row r="9722" spans="1:4">
      <c r="A9722" t="str">
        <f>"KE262-89906"</f>
        <v>KE262-89906</v>
      </c>
      <c r="B9722" t="str">
        <f>"AMB BULB 12/21W"</f>
        <v>AMB BULB 12/21W</v>
      </c>
      <c r="C9722">
        <v>0</v>
      </c>
      <c r="D9722">
        <v>85.68</v>
      </c>
    </row>
    <row r="9723" spans="1:4">
      <c r="A9723" t="str">
        <f>"KE262-89950"</f>
        <v>KE262-89950</v>
      </c>
      <c r="B9723" t="str">
        <f>"ROOM LAMP 10W"</f>
        <v>ROOM LAMP 10W</v>
      </c>
      <c r="C9723">
        <v>10</v>
      </c>
      <c r="D9723">
        <v>22.847999999999999</v>
      </c>
    </row>
    <row r="9724" spans="1:4">
      <c r="A9724" t="str">
        <f>"KE262-89960"</f>
        <v>KE262-89960</v>
      </c>
      <c r="B9724" t="str">
        <f>"BULB 12V 5W"</f>
        <v>BULB 12V 5W</v>
      </c>
      <c r="C9724">
        <v>11</v>
      </c>
      <c r="D9724">
        <v>65.688000000000002</v>
      </c>
    </row>
    <row r="9725" spans="1:4">
      <c r="A9725" t="str">
        <f>"KE262-89961"</f>
        <v>KE262-89961</v>
      </c>
      <c r="B9725" t="str">
        <f>"BULB 12V WY5W"</f>
        <v>BULB 12V WY5W</v>
      </c>
      <c r="C9725">
        <v>8</v>
      </c>
      <c r="D9725">
        <v>55.08</v>
      </c>
    </row>
    <row r="9726" spans="1:4">
      <c r="A9726" t="str">
        <f>"KE262-89965"</f>
        <v>KE262-89965</v>
      </c>
      <c r="B9726" t="str">
        <f>"BULB 12V 3W"</f>
        <v>BULB 12V 3W</v>
      </c>
      <c r="C9726">
        <v>1</v>
      </c>
      <c r="D9726">
        <v>19.175999999999998</v>
      </c>
    </row>
    <row r="9727" spans="1:4">
      <c r="A9727" t="str">
        <f>"KE266-89905"</f>
        <v>KE266-89905</v>
      </c>
      <c r="B9727" t="str">
        <f>"MINIFUSE 5A"</f>
        <v>MINIFUSE 5A</v>
      </c>
      <c r="C9727">
        <v>8</v>
      </c>
      <c r="D9727">
        <v>10.199999999999999</v>
      </c>
    </row>
    <row r="9728" spans="1:4">
      <c r="A9728" t="str">
        <f>"KE280-89961"</f>
        <v>KE280-89961</v>
      </c>
      <c r="B9728" t="str">
        <f>"N-BUS NS16 0.4M"</f>
        <v>N-BUS NS16 0.4M</v>
      </c>
      <c r="C9728">
        <v>1</v>
      </c>
      <c r="D9728">
        <v>716.44799999999998</v>
      </c>
    </row>
    <row r="9729" spans="1:4">
      <c r="A9729" t="str">
        <f>"KE285-AV000"</f>
        <v>KE285-AV000</v>
      </c>
      <c r="B9729" t="str">
        <f>"TK12NBUSHAR5M"</f>
        <v>TK12NBUSHAR5M</v>
      </c>
      <c r="C9729">
        <v>2</v>
      </c>
      <c r="D9729">
        <v>1015.92</v>
      </c>
    </row>
    <row r="9730" spans="1:4">
      <c r="A9730" t="str">
        <f>"KE288-89900-AF"</f>
        <v>KE288-89900-AF</v>
      </c>
      <c r="B9730" t="str">
        <f>"WIPER BLADE 300"</f>
        <v>WIPER BLADE 300</v>
      </c>
      <c r="C9730">
        <v>1</v>
      </c>
      <c r="D9730">
        <v>211.75200000000001</v>
      </c>
    </row>
    <row r="9731" spans="1:4">
      <c r="A9731" t="str">
        <f>"KE288-89900-AG"</f>
        <v>KE288-89900-AG</v>
      </c>
      <c r="B9731" t="str">
        <f t="shared" ref="B9731:B9740" si="199">"Щетка стеклоочистите"</f>
        <v>Щетка стеклоочистите</v>
      </c>
      <c r="C9731">
        <v>2</v>
      </c>
      <c r="D9731">
        <v>211.75200000000001</v>
      </c>
    </row>
    <row r="9732" spans="1:4">
      <c r="A9732" t="str">
        <f>"KE288-89905-AG"</f>
        <v>KE288-89905-AG</v>
      </c>
      <c r="B9732" t="str">
        <f t="shared" si="199"/>
        <v>Щетка стеклоочистите</v>
      </c>
      <c r="C9732">
        <v>18</v>
      </c>
      <c r="D9732">
        <v>228.88800000000001</v>
      </c>
    </row>
    <row r="9733" spans="1:4">
      <c r="A9733" t="str">
        <f>"KE288-89925-AG"</f>
        <v>KE288-89925-AG</v>
      </c>
      <c r="B9733" t="str">
        <f t="shared" si="199"/>
        <v>Щетка стеклоочистите</v>
      </c>
      <c r="C9733">
        <v>19</v>
      </c>
      <c r="D9733">
        <v>281.52</v>
      </c>
    </row>
    <row r="9734" spans="1:4">
      <c r="A9734" t="str">
        <f>"KE288-89926-AG"</f>
        <v>KE288-89926-AG</v>
      </c>
      <c r="B9734" t="str">
        <f t="shared" si="199"/>
        <v>Щетка стеклоочистите</v>
      </c>
      <c r="C9734">
        <v>19</v>
      </c>
      <c r="D9734">
        <v>219.50399999999999</v>
      </c>
    </row>
    <row r="9735" spans="1:4">
      <c r="A9735" t="str">
        <f>"KE288-89927-AG"</f>
        <v>KE288-89927-AG</v>
      </c>
      <c r="B9735" t="str">
        <f t="shared" si="199"/>
        <v>Щетка стеклоочистите</v>
      </c>
      <c r="C9735">
        <v>7</v>
      </c>
      <c r="D9735">
        <v>242.352</v>
      </c>
    </row>
    <row r="9736" spans="1:4">
      <c r="A9736" t="str">
        <f>"KE288-89928-AG"</f>
        <v>KE288-89928-AG</v>
      </c>
      <c r="B9736" t="str">
        <f t="shared" si="199"/>
        <v>Щетка стеклоочистите</v>
      </c>
      <c r="C9736">
        <v>22</v>
      </c>
      <c r="D9736">
        <v>278.25599999999997</v>
      </c>
    </row>
    <row r="9737" spans="1:4">
      <c r="A9737" t="str">
        <f>"KE288-89935-AG"</f>
        <v>KE288-89935-AG</v>
      </c>
      <c r="B9737" t="str">
        <f t="shared" si="199"/>
        <v>Щетка стеклоочистите</v>
      </c>
      <c r="C9737">
        <v>8</v>
      </c>
      <c r="D9737">
        <v>314.56799999999998</v>
      </c>
    </row>
    <row r="9738" spans="1:4">
      <c r="A9738" t="str">
        <f>"KE288-89950-AG"</f>
        <v>KE288-89950-AG</v>
      </c>
      <c r="B9738" t="str">
        <f t="shared" si="199"/>
        <v>Щетка стеклоочистите</v>
      </c>
      <c r="C9738">
        <v>14</v>
      </c>
      <c r="D9738">
        <v>345.16799999999995</v>
      </c>
    </row>
    <row r="9739" spans="1:4">
      <c r="A9739" t="str">
        <f>"KE288-89955-AG"</f>
        <v>KE288-89955-AG</v>
      </c>
      <c r="B9739" t="str">
        <f t="shared" si="199"/>
        <v>Щетка стеклоочистите</v>
      </c>
      <c r="C9739">
        <v>19</v>
      </c>
      <c r="D9739">
        <v>349.24799999999999</v>
      </c>
    </row>
    <row r="9740" spans="1:4">
      <c r="A9740" t="str">
        <f>"KE288-89960-AG"</f>
        <v>KE288-89960-AG</v>
      </c>
      <c r="B9740" t="str">
        <f t="shared" si="199"/>
        <v>Щетка стеклоочистите</v>
      </c>
      <c r="C9740">
        <v>20</v>
      </c>
      <c r="D9740">
        <v>439.82399999999996</v>
      </c>
    </row>
    <row r="9741" spans="1:4">
      <c r="A9741" t="str">
        <f>"KE409-89941"</f>
        <v>KE409-89941</v>
      </c>
      <c r="B9741" t="str">
        <f>"Колесные секретки к-"</f>
        <v>Колесные секретки к-</v>
      </c>
      <c r="C9741">
        <v>1</v>
      </c>
      <c r="D9741">
        <v>1439.0160000000001</v>
      </c>
    </row>
    <row r="9742" spans="1:4">
      <c r="A9742" t="str">
        <f>"KE409-89951"</f>
        <v>KE409-89951</v>
      </c>
      <c r="B9742" t="str">
        <f>"Секретки колесные к-"</f>
        <v>Секретки колесные к-</v>
      </c>
      <c r="C9742">
        <v>4</v>
      </c>
      <c r="D9742">
        <v>1308.048</v>
      </c>
    </row>
    <row r="9743" spans="1:4">
      <c r="A9743" t="str">
        <f>"KE500-BU010"</f>
        <v>KE500-BU010</v>
      </c>
      <c r="B9743" t="str">
        <f>"ФАРКОП"</f>
        <v>ФАРКОП</v>
      </c>
      <c r="C9743">
        <v>1</v>
      </c>
      <c r="D9743">
        <v>5736.8879999999999</v>
      </c>
    </row>
    <row r="9744" spans="1:4">
      <c r="A9744" t="str">
        <f>"KE500-JG500"</f>
        <v>KE500-JG500</v>
      </c>
      <c r="B9744" t="str">
        <f>"ФАРКОП"</f>
        <v>ФАРКОП</v>
      </c>
      <c r="C9744">
        <v>1</v>
      </c>
      <c r="D9744">
        <v>10359.120000000001</v>
      </c>
    </row>
    <row r="9745" spans="1:4">
      <c r="A9745" t="str">
        <f>"KE505-AV507"</f>
        <v>KE505-AV507</v>
      </c>
      <c r="B9745" t="str">
        <f>"TOW ELEC 7 LHD"</f>
        <v>TOW ELEC 7 LHD</v>
      </c>
      <c r="C9745">
        <v>1</v>
      </c>
      <c r="D9745">
        <v>2804.5919999999996</v>
      </c>
    </row>
    <row r="9746" spans="1:4">
      <c r="A9746" t="str">
        <f>"KE505-BC007"</f>
        <v>KE505-BC007</v>
      </c>
      <c r="B9746" t="str">
        <f>"ЭЛЕКТРИКА ФАРКОПА 7P"</f>
        <v>ЭЛЕКТРИКА ФАРКОПА 7P</v>
      </c>
      <c r="C9746">
        <v>1</v>
      </c>
      <c r="D9746">
        <v>3596.9279999999999</v>
      </c>
    </row>
    <row r="9747" spans="1:4">
      <c r="A9747" t="str">
        <f>"KE505-JD107"</f>
        <v>KE505-JD107</v>
      </c>
      <c r="B9747" t="str">
        <f>"Электрика фаркопа 7P"</f>
        <v>Электрика фаркопа 7P</v>
      </c>
      <c r="C9747">
        <v>0</v>
      </c>
      <c r="D9747">
        <v>3269.3040000000001</v>
      </c>
    </row>
    <row r="9748" spans="1:4">
      <c r="A9748" t="str">
        <f>"KE505-VB007"</f>
        <v>KE505-VB007</v>
      </c>
      <c r="B9748" t="str">
        <f>"TOWBAR KIT 7PIN"</f>
        <v>TOWBAR KIT 7PIN</v>
      </c>
      <c r="C9748">
        <v>1</v>
      </c>
      <c r="D9748">
        <v>4834.8</v>
      </c>
    </row>
    <row r="9749" spans="1:4">
      <c r="A9749" t="str">
        <f>"KE505-VB007-KS"</f>
        <v>KE505-VB007-KS</v>
      </c>
      <c r="B9749" t="str">
        <f>"Электрика фаркопа 7 "</f>
        <v xml:space="preserve">Электрика фаркопа 7 </v>
      </c>
      <c r="C9749">
        <v>1</v>
      </c>
      <c r="D9749">
        <v>4834.8</v>
      </c>
    </row>
    <row r="9750" spans="1:4">
      <c r="A9750" t="str">
        <f>"KE511-99900"</f>
        <v>KE511-99900</v>
      </c>
      <c r="B9750" t="str">
        <f>"REARPARK SYSTEM"</f>
        <v>REARPARK SYSTEM</v>
      </c>
      <c r="C9750">
        <v>2</v>
      </c>
      <c r="D9750">
        <v>15756.551999999998</v>
      </c>
    </row>
    <row r="9751" spans="1:4">
      <c r="A9751" t="str">
        <f>"KE543-VB510"</f>
        <v>KE543-VB510</v>
      </c>
      <c r="B9751" t="str">
        <f>"SID STEP LWB SS"</f>
        <v>SID STEP LWB SS</v>
      </c>
      <c r="C9751">
        <v>1</v>
      </c>
      <c r="D9751">
        <v>17336.328000000001</v>
      </c>
    </row>
    <row r="9752" spans="1:4">
      <c r="A9752" t="str">
        <f>"KE545-VB010"</f>
        <v>KE545-VB010</v>
      </c>
      <c r="B9752" t="str">
        <f>"RR LAMP PROT SS"</f>
        <v>RR LAMP PROT SS</v>
      </c>
      <c r="C9752">
        <v>1</v>
      </c>
      <c r="D9752">
        <v>6770.3519999999999</v>
      </c>
    </row>
    <row r="9753" spans="1:4">
      <c r="A9753" t="str">
        <f>"KE650-CC251"</f>
        <v>KE650-CC251</v>
      </c>
      <c r="B9753" t="str">
        <f>"ПЕПЕЛЬНИЦА"</f>
        <v>ПЕПЕЛЬНИЦА</v>
      </c>
      <c r="C9753">
        <v>1</v>
      </c>
      <c r="D9753">
        <v>3165.2639999999997</v>
      </c>
    </row>
    <row r="9754" spans="1:4">
      <c r="A9754" t="str">
        <f>"KE670-0F010"</f>
        <v>KE670-0F010</v>
      </c>
      <c r="B9754" t="str">
        <f>"WOOD UPGRADE"</f>
        <v>WOOD UPGRADE</v>
      </c>
      <c r="C9754">
        <v>3</v>
      </c>
      <c r="D9754">
        <v>612</v>
      </c>
    </row>
    <row r="9755" spans="1:4">
      <c r="A9755" t="str">
        <f>"KE730-8H000-S1"</f>
        <v>KE730-8H000-S1</v>
      </c>
      <c r="B9755" t="str">
        <f>"COVER"</f>
        <v>COVER</v>
      </c>
      <c r="C9755">
        <v>1</v>
      </c>
      <c r="D9755">
        <v>443.08800000000002</v>
      </c>
    </row>
    <row r="9756" spans="1:4">
      <c r="A9756" t="str">
        <f>"KE730-JD010"</f>
        <v>KE730-JD010</v>
      </c>
      <c r="B9756" t="str">
        <f>"Багажник крыши"</f>
        <v>Багажник крыши</v>
      </c>
      <c r="C9756">
        <v>1</v>
      </c>
      <c r="D9756">
        <v>6199.56</v>
      </c>
    </row>
    <row r="9757" spans="1:4">
      <c r="A9757" t="str">
        <f>"KE732-EB510"</f>
        <v>KE732-EB510</v>
      </c>
      <c r="B9757" t="str">
        <f>"CROSSBAR KIT AL"</f>
        <v>CROSSBAR KIT AL</v>
      </c>
      <c r="C9757">
        <v>1</v>
      </c>
      <c r="D9757">
        <v>8967.84</v>
      </c>
    </row>
    <row r="9758" spans="1:4">
      <c r="A9758" t="str">
        <f>"KE734-99986-S2"</f>
        <v>KE734-99986-S2</v>
      </c>
      <c r="B9758" t="str">
        <f>"STRAP"</f>
        <v>STRAP</v>
      </c>
      <c r="C9758">
        <v>2</v>
      </c>
      <c r="D9758">
        <v>560.18399999999997</v>
      </c>
    </row>
    <row r="9759" spans="1:4">
      <c r="A9759" t="str">
        <f>"KE741-3Y089"</f>
        <v>KE741-3Y089</v>
      </c>
      <c r="B9759" t="str">
        <f>"RUBBER MATS FR"</f>
        <v>RUBBER MATS FR</v>
      </c>
      <c r="C9759">
        <v>0</v>
      </c>
      <c r="D9759">
        <v>1640.1599999999999</v>
      </c>
    </row>
    <row r="9760" spans="1:4">
      <c r="A9760" t="str">
        <f>"KE742-VD089-DR"</f>
        <v>KE742-VD089-DR</v>
      </c>
      <c r="B9760" t="str">
        <f>"Ковры резиновые к-т "</f>
        <v xml:space="preserve">Ковры резиновые к-т </v>
      </c>
      <c r="C9760">
        <v>1</v>
      </c>
      <c r="D9760">
        <v>1142.808</v>
      </c>
    </row>
    <row r="9761" spans="1:4">
      <c r="A9761" t="str">
        <f>"KE744-AX089-NS"</f>
        <v>KE744-AX089-NS</v>
      </c>
      <c r="B9761" t="str">
        <f>"Ковры салона резинов"</f>
        <v>Ковры салона резинов</v>
      </c>
      <c r="C9761">
        <v>1</v>
      </c>
      <c r="D9761">
        <v>1632</v>
      </c>
    </row>
    <row r="9762" spans="1:4">
      <c r="A9762" t="str">
        <f>"KE744-CC089-DR"</f>
        <v>KE744-CC089-DR</v>
      </c>
      <c r="B9762" t="str">
        <f>"КОВРЫ К-Т"</f>
        <v>КОВРЫ К-Т</v>
      </c>
      <c r="C9762">
        <v>1</v>
      </c>
      <c r="D9762">
        <v>3292.152</v>
      </c>
    </row>
    <row r="9763" spans="1:4">
      <c r="A9763" t="str">
        <f>"KE744-ED089-NS"</f>
        <v>KE744-ED089-NS</v>
      </c>
      <c r="B9763" t="str">
        <f>"Ковры салона к-т рез"</f>
        <v>Ковры салона к-т рез</v>
      </c>
      <c r="C9763">
        <v>2</v>
      </c>
      <c r="D9763">
        <v>2636.4959999999996</v>
      </c>
    </row>
    <row r="9764" spans="1:4">
      <c r="A9764" t="str">
        <f>"KE745-8H021"</f>
        <v>KE745-8H021</v>
      </c>
      <c r="B9764" t="str">
        <f>"TEXTMAT4PCS NAT"</f>
        <v>TEXTMAT4PCS NAT</v>
      </c>
      <c r="C9764">
        <v>2</v>
      </c>
      <c r="D9764">
        <v>1353.336</v>
      </c>
    </row>
    <row r="9765" spans="1:4">
      <c r="A9765" t="str">
        <f>"KE745-8H065"</f>
        <v>KE745-8H065</v>
      </c>
      <c r="B9765" t="str">
        <f>"КОВРЫ ТЕКСТИЛЬ К"</f>
        <v>КОВРЫ ТЕКСТИЛЬ К</v>
      </c>
      <c r="C9765">
        <v>6</v>
      </c>
      <c r="D9765">
        <v>1216.6559999999999</v>
      </c>
    </row>
    <row r="9766" spans="1:4">
      <c r="A9766" t="str">
        <f>"KE745-BM014"</f>
        <v>KE745-BM014</v>
      </c>
      <c r="B9766" t="str">
        <f>"КОВРЫ САЛОНА К-Т"</f>
        <v>КОВРЫ САЛОНА К-Т</v>
      </c>
      <c r="C9766">
        <v>1</v>
      </c>
      <c r="D9766">
        <v>897.6</v>
      </c>
    </row>
    <row r="9767" spans="1:4">
      <c r="A9767" t="str">
        <f>"KE745-JG011"</f>
        <v>KE745-JG011</v>
      </c>
      <c r="B9767" t="str">
        <f>"Коврики текстильные "</f>
        <v xml:space="preserve">Коврики текстильные </v>
      </c>
      <c r="C9767">
        <v>1</v>
      </c>
      <c r="D9767">
        <v>1732.7760000000001</v>
      </c>
    </row>
    <row r="9768" spans="1:4">
      <c r="A9768" t="str">
        <f>"KE748-1K089"</f>
        <v>KE748-1K089</v>
      </c>
      <c r="B9768" t="str">
        <f>"Ковры салона"</f>
        <v>Ковры салона</v>
      </c>
      <c r="C9768">
        <v>0</v>
      </c>
      <c r="D9768">
        <v>2430.0479999999998</v>
      </c>
    </row>
    <row r="9769" spans="1:4">
      <c r="A9769" t="str">
        <f>"KE748-JG189"</f>
        <v>KE748-JG189</v>
      </c>
      <c r="B9769" t="str">
        <f>"Ковры салона к-т рез"</f>
        <v>Ковры салона к-т рез</v>
      </c>
      <c r="C9769">
        <v>1</v>
      </c>
      <c r="D9769">
        <v>2694.8399999999997</v>
      </c>
    </row>
    <row r="9770" spans="1:4">
      <c r="A9770" t="str">
        <f>"KE755-AX641"</f>
        <v>KE755-AX641</v>
      </c>
      <c r="B9770" t="str">
        <f>"Ковры салона"</f>
        <v>Ковры салона</v>
      </c>
      <c r="C9770">
        <v>3</v>
      </c>
      <c r="D9770">
        <v>2199.5279999999998</v>
      </c>
    </row>
    <row r="9771" spans="1:4">
      <c r="A9771" t="str">
        <f>"KE788-0N085-DR"</f>
        <v>KE788-0N085-DR</v>
      </c>
      <c r="B9771" t="str">
        <f>"БРЫЗГОВИКИ N15 П"</f>
        <v>БРЫЗГОВИКИ N15 П</v>
      </c>
      <c r="C9771">
        <v>1</v>
      </c>
      <c r="D9771">
        <v>1020</v>
      </c>
    </row>
    <row r="9772" spans="1:4">
      <c r="A9772" t="str">
        <f>"KE788-1K085"</f>
        <v>KE788-1K085</v>
      </c>
      <c r="B9772" t="str">
        <f>"FRONT MUDGUARDS"</f>
        <v>FRONT MUDGUARDS</v>
      </c>
      <c r="C9772">
        <v>0</v>
      </c>
      <c r="D9772">
        <v>1385.568</v>
      </c>
    </row>
    <row r="9773" spans="1:4">
      <c r="A9773" t="str">
        <f>"KE788-1K086"</f>
        <v>KE788-1K086</v>
      </c>
      <c r="B9773" t="str">
        <f>"REAR MUDGUARDS"</f>
        <v>REAR MUDGUARDS</v>
      </c>
      <c r="C9773">
        <v>0</v>
      </c>
      <c r="D9773">
        <v>1385.568</v>
      </c>
    </row>
    <row r="9774" spans="1:4">
      <c r="A9774" t="str">
        <f>"KE788-2F086-DR"</f>
        <v>KE788-2F086-DR</v>
      </c>
      <c r="B9774" t="str">
        <f>"Брызговики пластиков"</f>
        <v>Брызговики пластиков</v>
      </c>
      <c r="C9774">
        <v>1</v>
      </c>
      <c r="D9774">
        <v>1082.8319999999999</v>
      </c>
    </row>
    <row r="9775" spans="1:4">
      <c r="A9775" t="str">
        <f>"KE788-3Y085-DR"</f>
        <v>KE788-3Y085-DR</v>
      </c>
      <c r="B9775" t="str">
        <f>"Брызговики передние "</f>
        <v xml:space="preserve">Брызговики передние </v>
      </c>
      <c r="C9775">
        <v>0</v>
      </c>
      <c r="D9775">
        <v>1293.3599999999999</v>
      </c>
    </row>
    <row r="9776" spans="1:4">
      <c r="A9776" t="str">
        <f>"KE788-4M486-DR"</f>
        <v>KE788-4M486-DR</v>
      </c>
      <c r="B9776" t="str">
        <f>"БРЫЗГОВИКИ N16(E) 4S"</f>
        <v>БРЫЗГОВИКИ N16(E) 4S</v>
      </c>
      <c r="C9776">
        <v>2</v>
      </c>
      <c r="D9776">
        <v>1020</v>
      </c>
    </row>
    <row r="9777" spans="1:4">
      <c r="A9777" t="str">
        <f>"KE788-95F85"</f>
        <v>KE788-95F85</v>
      </c>
      <c r="B9777" t="str">
        <f>"Брызговики передние "</f>
        <v xml:space="preserve">Брызговики передние </v>
      </c>
      <c r="C9777">
        <v>5</v>
      </c>
      <c r="D9777">
        <v>962.06399999999996</v>
      </c>
    </row>
    <row r="9778" spans="1:4">
      <c r="A9778" t="str">
        <f>"KE788-95F86"</f>
        <v>KE788-95F86</v>
      </c>
      <c r="B9778" t="str">
        <f>"Брызговики задние пл"</f>
        <v>Брызговики задние пл</v>
      </c>
      <c r="C9778">
        <v>6</v>
      </c>
      <c r="D9778">
        <v>910.24799999999993</v>
      </c>
    </row>
    <row r="9779" spans="1:4">
      <c r="A9779" t="str">
        <f>"KE788-9U585"</f>
        <v>KE788-9U585</v>
      </c>
      <c r="B9779" t="str">
        <f>"Брызговики передние "</f>
        <v xml:space="preserve">Брызговики передние </v>
      </c>
      <c r="C9779">
        <v>2</v>
      </c>
      <c r="D9779">
        <v>1071.8159999999998</v>
      </c>
    </row>
    <row r="9780" spans="1:4">
      <c r="A9780" t="str">
        <f>"KE788-9U586"</f>
        <v>KE788-9U586</v>
      </c>
      <c r="B9780" t="str">
        <f>"Брызговики задние к-"</f>
        <v>Брызговики задние к-</v>
      </c>
      <c r="C9780">
        <v>0</v>
      </c>
      <c r="D9780">
        <v>1082.8319999999999</v>
      </c>
    </row>
    <row r="9781" spans="1:4">
      <c r="A9781" t="str">
        <f>"KE788-AV085-DR"</f>
        <v>KE788-AV085-DR</v>
      </c>
      <c r="B9781" t="str">
        <f>"Брызговики передние "</f>
        <v xml:space="preserve">Брызговики передние </v>
      </c>
      <c r="C9781">
        <v>1</v>
      </c>
      <c r="D9781">
        <v>1075.4880000000001</v>
      </c>
    </row>
    <row r="9782" spans="1:4">
      <c r="A9782" t="str">
        <f>"KE788-AV086-DR"</f>
        <v>KE788-AV086-DR</v>
      </c>
      <c r="B9782" t="str">
        <f>"Брызговики задние пл"</f>
        <v>Брызговики задние пл</v>
      </c>
      <c r="C9782">
        <v>1</v>
      </c>
      <c r="D9782">
        <v>1092.624</v>
      </c>
    </row>
    <row r="9783" spans="1:4">
      <c r="A9783" t="str">
        <f>"KE788-AX685-DR"</f>
        <v>KE788-AX685-DR</v>
      </c>
      <c r="B9783" t="str">
        <f>"Брызговики передние "</f>
        <v xml:space="preserve">Брызговики передние </v>
      </c>
      <c r="C9783">
        <v>0</v>
      </c>
      <c r="D9783">
        <v>967.77599999999995</v>
      </c>
    </row>
    <row r="9784" spans="1:4">
      <c r="A9784" t="str">
        <f>"KE788-AX686-DR"</f>
        <v>KE788-AX686-DR</v>
      </c>
      <c r="B9784" t="str">
        <f>"Брызговки пластиковы"</f>
        <v>Брызговки пластиковы</v>
      </c>
      <c r="C9784">
        <v>1</v>
      </c>
      <c r="D9784">
        <v>990.62399999999991</v>
      </c>
    </row>
    <row r="9785" spans="1:4">
      <c r="A9785" t="str">
        <f>"KE788-BN085-DR"</f>
        <v>KE788-BN085-DR</v>
      </c>
      <c r="B9785" t="str">
        <f>"Брызговики передние "</f>
        <v xml:space="preserve">Брызговики передние </v>
      </c>
      <c r="C9785">
        <v>2</v>
      </c>
      <c r="D9785">
        <v>1082.8319999999999</v>
      </c>
    </row>
    <row r="9786" spans="1:4">
      <c r="A9786" t="str">
        <f>"KE788-BN086-DR"</f>
        <v>KE788-BN086-DR</v>
      </c>
      <c r="B9786" t="str">
        <f>"Брызговики N16E 3-5 "</f>
        <v xml:space="preserve">Брызговики N16E 3-5 </v>
      </c>
      <c r="C9786">
        <v>0</v>
      </c>
      <c r="D9786">
        <v>1089.3599999999999</v>
      </c>
    </row>
    <row r="9787" spans="1:4">
      <c r="A9787" t="str">
        <f>"KE788-BN486"</f>
        <v>KE788-BN486</v>
      </c>
      <c r="B9787" t="str">
        <f>"MUDGD SET RR 4D"</f>
        <v>MUDGD SET RR 4D</v>
      </c>
      <c r="C9787">
        <v>1</v>
      </c>
      <c r="D9787">
        <v>824.976</v>
      </c>
    </row>
    <row r="9788" spans="1:4">
      <c r="A9788" t="str">
        <f>"KE788-EM085"</f>
        <v>KE788-EM085</v>
      </c>
      <c r="B9788" t="str">
        <f>"FRONT MUDGUARDS"</f>
        <v>FRONT MUDGUARDS</v>
      </c>
      <c r="C9788">
        <v>0</v>
      </c>
      <c r="D9788">
        <v>1414.5359999999998</v>
      </c>
    </row>
    <row r="9789" spans="1:4">
      <c r="A9789" t="str">
        <f>"KE788-JD185"</f>
        <v>KE788-JD185</v>
      </c>
      <c r="B9789" t="str">
        <f>"Брызговики пластиков"</f>
        <v>Брызговики пластиков</v>
      </c>
      <c r="C9789">
        <v>1</v>
      </c>
      <c r="D9789">
        <v>1237.4639999999999</v>
      </c>
    </row>
    <row r="9790" spans="1:4">
      <c r="A9790" t="str">
        <f>"KE788-JD285"</f>
        <v>KE788-JD285</v>
      </c>
      <c r="B9790" t="str">
        <f>"Брызговики перед"</f>
        <v>Брызговики перед</v>
      </c>
      <c r="C9790">
        <v>2</v>
      </c>
      <c r="D9790">
        <v>1237.4639999999999</v>
      </c>
    </row>
    <row r="9791" spans="1:4">
      <c r="A9791" t="str">
        <f>"KE788-JD286"</f>
        <v>KE788-JD286</v>
      </c>
      <c r="B9791" t="str">
        <f>"Брызговики задние пл"</f>
        <v>Брызговики задние пл</v>
      </c>
      <c r="C9791">
        <v>3</v>
      </c>
      <c r="D9791">
        <v>1237.4639999999999</v>
      </c>
    </row>
    <row r="9792" spans="1:4">
      <c r="A9792" t="str">
        <f>"KE791-VB000"</f>
        <v>KE791-VB000</v>
      </c>
      <c r="B9792" t="str">
        <f>"EXHAUST FIN. GU"</f>
        <v>EXHAUST FIN. GU</v>
      </c>
      <c r="C9792">
        <v>1</v>
      </c>
      <c r="D9792">
        <v>1428</v>
      </c>
    </row>
    <row r="9793" spans="1:4">
      <c r="A9793" t="str">
        <f>"KE800-EY510"</f>
        <v>KE800-EY510</v>
      </c>
      <c r="B9793" t="str">
        <f>"WIND DEFLECTORS"</f>
        <v>WIND DEFLECTORS</v>
      </c>
      <c r="C9793">
        <v>0</v>
      </c>
      <c r="D9793">
        <v>4259.9279999999999</v>
      </c>
    </row>
    <row r="9794" spans="1:4">
      <c r="A9794" t="str">
        <f>"KE900-90032-R"</f>
        <v>KE900-90032-R</v>
      </c>
      <c r="B9794" t="str">
        <f>"Масло моторное 5W40 "</f>
        <v xml:space="preserve">Масло моторное 5W40 </v>
      </c>
      <c r="C9794">
        <v>55</v>
      </c>
      <c r="D9794">
        <v>348.43200000000002</v>
      </c>
    </row>
    <row r="9795" spans="1:4">
      <c r="A9795" t="str">
        <f>"KE900-90042-R"</f>
        <v>KE900-90042-R</v>
      </c>
      <c r="B9795" t="str">
        <f>"Масло моторное 5W40 "</f>
        <v xml:space="preserve">Масло моторное 5W40 </v>
      </c>
      <c r="C9795">
        <v>122</v>
      </c>
      <c r="D9795">
        <v>1678.104</v>
      </c>
    </row>
    <row r="9796" spans="1:4">
      <c r="A9796" t="str">
        <f>"KE900-90043-R"</f>
        <v>KE900-90043-R</v>
      </c>
      <c r="B9796" t="str">
        <f>"Масло моторное 5W30 "</f>
        <v xml:space="preserve">Масло моторное 5W30 </v>
      </c>
      <c r="C9796">
        <v>0</v>
      </c>
      <c r="D9796">
        <v>2696.0639999999999</v>
      </c>
    </row>
    <row r="9797" spans="1:4">
      <c r="A9797" t="str">
        <f>"KE900-99932-R"</f>
        <v>KE900-99932-R</v>
      </c>
      <c r="B9797" t="str">
        <f>"Масло моторное 10W40"</f>
        <v>Масло моторное 10W40</v>
      </c>
      <c r="C9797">
        <v>37</v>
      </c>
      <c r="D9797">
        <v>317.83199999999999</v>
      </c>
    </row>
    <row r="9798" spans="1:4">
      <c r="A9798" t="str">
        <f>"KE900-99942-R"</f>
        <v>KE900-99942-R</v>
      </c>
      <c r="B9798" t="str">
        <f>"Масло моторное 10W40"</f>
        <v>Масло моторное 10W40</v>
      </c>
      <c r="C9798">
        <v>39</v>
      </c>
      <c r="D9798">
        <v>1506.336</v>
      </c>
    </row>
    <row r="9799" spans="1:4">
      <c r="A9799" t="str">
        <f>"KE902-99935"</f>
        <v>KE902-99935</v>
      </c>
      <c r="B9799" t="str">
        <f>"Жидкость охлаждения "</f>
        <v xml:space="preserve">Жидкость охлаждения </v>
      </c>
      <c r="C9799">
        <v>78</v>
      </c>
      <c r="D9799">
        <v>211.34399999999999</v>
      </c>
    </row>
    <row r="9800" spans="1:4">
      <c r="A9800" t="str">
        <f>"KE902-99945"</f>
        <v>KE902-99945</v>
      </c>
      <c r="B9800" t="str">
        <f>"Жидкость охлаждения "</f>
        <v xml:space="preserve">Жидкость охлаждения </v>
      </c>
      <c r="C9800">
        <v>46</v>
      </c>
      <c r="D9800">
        <v>844.56</v>
      </c>
    </row>
    <row r="9801" spans="1:4">
      <c r="A9801" t="str">
        <f>"KE903-99932"</f>
        <v>KE903-99932</v>
      </c>
      <c r="B9801" t="str">
        <f>"Жидкость тормозная D"</f>
        <v>Жидкость тормозная D</v>
      </c>
      <c r="C9801">
        <v>21</v>
      </c>
      <c r="D9801">
        <v>452.47199999999998</v>
      </c>
    </row>
    <row r="9802" spans="1:4">
      <c r="A9802" t="str">
        <f>"KE907-99932-R"</f>
        <v>KE907-99932-R</v>
      </c>
      <c r="B9802" t="str">
        <f>"Масло трансмиссионно"</f>
        <v>Масло трансмиссионно</v>
      </c>
      <c r="C9802">
        <v>118</v>
      </c>
      <c r="D9802">
        <v>450.84</v>
      </c>
    </row>
    <row r="9803" spans="1:4">
      <c r="A9803" t="str">
        <f>"KE908-99931-R"</f>
        <v>KE908-99931-R</v>
      </c>
      <c r="B9803" t="str">
        <f>"Масло АКПП N-CVT 1LT"</f>
        <v>Масло АКПП N-CVT 1LT</v>
      </c>
      <c r="C9803">
        <v>91</v>
      </c>
      <c r="D9803">
        <v>445.53599999999994</v>
      </c>
    </row>
    <row r="9804" spans="1:4">
      <c r="A9804" t="str">
        <f>"KE908-99932-R"</f>
        <v>KE908-99932-R</v>
      </c>
      <c r="B9804" t="str">
        <f>"Масло АКПП ATF MATIC"</f>
        <v>Масло АКПП ATF MATIC</v>
      </c>
      <c r="C9804">
        <v>100</v>
      </c>
      <c r="D9804">
        <v>539.78399999999999</v>
      </c>
    </row>
    <row r="9805" spans="1:4">
      <c r="A9805" t="str">
        <f>"KE909-99942-R"</f>
        <v>KE909-99942-R</v>
      </c>
      <c r="B9805" t="str">
        <f>"Масло NS-1 CVT 5"</f>
        <v>Масло NS-1 CVT 5</v>
      </c>
      <c r="C9805">
        <v>25</v>
      </c>
      <c r="D9805">
        <v>4588.3679999999995</v>
      </c>
    </row>
    <row r="9806" spans="1:4">
      <c r="A9806" t="str">
        <f>"KE916-99931-R"</f>
        <v>KE916-99931-R</v>
      </c>
      <c r="B9806" t="str">
        <f>"Масло трансмиссионно"</f>
        <v>Масло трансмиссионно</v>
      </c>
      <c r="C9806">
        <v>14</v>
      </c>
      <c r="D9806">
        <v>680.952</v>
      </c>
    </row>
    <row r="9807" spans="1:4">
      <c r="A9807" t="str">
        <f>"KE916-99932-R"</f>
        <v>KE916-99932-R</v>
      </c>
      <c r="B9807" t="str">
        <f>"Масло трансмиссионно"</f>
        <v>Масло трансмиссионно</v>
      </c>
      <c r="C9807">
        <v>41</v>
      </c>
      <c r="D9807">
        <v>425.95199999999994</v>
      </c>
    </row>
    <row r="9808" spans="1:4">
      <c r="A9808" t="str">
        <f>"KE916-99941-R"</f>
        <v>KE916-99941-R</v>
      </c>
      <c r="B9808" t="str">
        <f>"Масло трансм. для вн"</f>
        <v>Масло трансм. для вн</v>
      </c>
      <c r="C9808">
        <v>1</v>
      </c>
      <c r="D9808">
        <v>3784.2</v>
      </c>
    </row>
    <row r="9809" spans="1:4">
      <c r="A9809" t="str">
        <f>"KE916-99942-R"</f>
        <v>KE916-99942-R</v>
      </c>
      <c r="B9809" t="str">
        <f>"Масло трансм. для ле"</f>
        <v>Масло трансм. для ле</v>
      </c>
      <c r="C9809">
        <v>14</v>
      </c>
      <c r="D9809">
        <v>2011.0319999999997</v>
      </c>
    </row>
    <row r="9810" spans="1:4">
      <c r="A9810" t="str">
        <f>"KE964-5X500"</f>
        <v>KE964-5X500</v>
      </c>
      <c r="B9810" t="str">
        <f>"Поддон багажника"</f>
        <v>Поддон багажника</v>
      </c>
      <c r="C9810">
        <v>1</v>
      </c>
      <c r="D9810">
        <v>6528</v>
      </c>
    </row>
    <row r="9811" spans="1:4">
      <c r="A9811" t="str">
        <f>"KE965-2Y220"</f>
        <v>KE965-2Y220</v>
      </c>
      <c r="B9811" t="str">
        <f>"ENTRY GUARD RR"</f>
        <v>ENTRY GUARD RR</v>
      </c>
      <c r="C9811">
        <v>1</v>
      </c>
      <c r="D9811">
        <v>2292.5520000000001</v>
      </c>
    </row>
    <row r="9812" spans="1:4">
      <c r="A9812" t="str">
        <f>"KE965-AV4S0"</f>
        <v>KE965-AV4S0</v>
      </c>
      <c r="B9812" t="str">
        <f>"TRUNKLINER SOFT"</f>
        <v>TRUNKLINER SOFT</v>
      </c>
      <c r="C9812">
        <v>1</v>
      </c>
      <c r="D9812">
        <v>2026.1279999999999</v>
      </c>
    </row>
    <row r="9813" spans="1:4">
      <c r="A9813" t="str">
        <f>"KE965-AV5S0"</f>
        <v>KE965-AV5S0</v>
      </c>
      <c r="B9813" t="str">
        <f>"TRUNKLINER SOFT"</f>
        <v>TRUNKLINER SOFT</v>
      </c>
      <c r="C9813">
        <v>2</v>
      </c>
      <c r="D9813">
        <v>1201.9679999999998</v>
      </c>
    </row>
    <row r="9814" spans="1:4">
      <c r="A9814" t="str">
        <f>"KE965-AX4S0"</f>
        <v>KE965-AX4S0</v>
      </c>
      <c r="B9814" t="str">
        <f>"TRUNKLINER BLCK"</f>
        <v>TRUNKLINER BLCK</v>
      </c>
      <c r="C9814">
        <v>1</v>
      </c>
      <c r="D9814">
        <v>2110.5839999999998</v>
      </c>
    </row>
    <row r="9815" spans="1:4">
      <c r="A9815" t="str">
        <f>"KE965-EB5H3"</f>
        <v>KE965-EB5H3</v>
      </c>
      <c r="B9815" t="str">
        <f>"TRKLNERHARD 3RO"</f>
        <v>TRKLNERHARD 3RO</v>
      </c>
      <c r="C9815">
        <v>1</v>
      </c>
      <c r="D9815">
        <v>5909.0640000000003</v>
      </c>
    </row>
    <row r="9816" spans="1:4">
      <c r="A9816" t="str">
        <f>"KE965-EL4S0"</f>
        <v>KE965-EL4S0</v>
      </c>
      <c r="B9816" t="str">
        <f>"ПОДДОН МЯГКИЙ"</f>
        <v>ПОДДОН МЯГКИЙ</v>
      </c>
      <c r="C9816">
        <v>1</v>
      </c>
      <c r="D9816">
        <v>3182.4</v>
      </c>
    </row>
    <row r="9817" spans="1:4">
      <c r="A9817" t="str">
        <f>"KE966-74R00"</f>
        <v>KE966-74R00</v>
      </c>
      <c r="B9817" t="str">
        <f>"STORAGE NET"</f>
        <v>STORAGE NET</v>
      </c>
      <c r="C9817">
        <v>0</v>
      </c>
      <c r="D9817">
        <v>1931.88</v>
      </c>
    </row>
    <row r="9818" spans="1:4">
      <c r="A9818" t="str">
        <f>"KE998-A1125-AA"</f>
        <v>KE998-A1125-AA</v>
      </c>
      <c r="B9818" t="str">
        <f>"PAINT PENCIL"</f>
        <v>PAINT PENCIL</v>
      </c>
      <c r="C9818">
        <v>2</v>
      </c>
      <c r="D9818">
        <v>403.92</v>
      </c>
    </row>
    <row r="9819" spans="1:4">
      <c r="A9819" t="str">
        <f>"KE998-B3225-AA"</f>
        <v>KE998-B3225-AA</v>
      </c>
      <c r="B9819" t="str">
        <f>"МАРКЕР B32"</f>
        <v>МАРКЕР B32</v>
      </c>
      <c r="C9819">
        <v>3</v>
      </c>
      <c r="D9819">
        <v>363.12</v>
      </c>
    </row>
    <row r="9820" spans="1:4">
      <c r="A9820" t="str">
        <f>"KE998-BP025-AA"</f>
        <v>KE998-BP025-AA</v>
      </c>
      <c r="B9820" t="str">
        <f>"PAINT PENCIL"</f>
        <v>PAINT PENCIL</v>
      </c>
      <c r="C9820">
        <v>3</v>
      </c>
      <c r="D9820">
        <v>363.12</v>
      </c>
    </row>
    <row r="9821" spans="1:4">
      <c r="A9821" t="str">
        <f>"KE998-BS925-AA"</f>
        <v>KE998-BS925-AA</v>
      </c>
      <c r="B9821" t="str">
        <f>"PAINT PENSIL"</f>
        <v>PAINT PENSIL</v>
      </c>
      <c r="C9821">
        <v>2</v>
      </c>
      <c r="D9821">
        <v>363.12</v>
      </c>
    </row>
    <row r="9822" spans="1:4">
      <c r="A9822" t="str">
        <f>"KE998-D1525-AA"</f>
        <v>KE998-D1525-AA</v>
      </c>
      <c r="B9822" t="str">
        <f t="shared" ref="B9822:B9828" si="200">"PAINT PENCIL"</f>
        <v>PAINT PENCIL</v>
      </c>
      <c r="C9822">
        <v>1</v>
      </c>
      <c r="D9822">
        <v>363.12</v>
      </c>
    </row>
    <row r="9823" spans="1:4">
      <c r="A9823" t="str">
        <f>"KE998-DR525-AA"</f>
        <v>KE998-DR525-AA</v>
      </c>
      <c r="B9823" t="str">
        <f t="shared" si="200"/>
        <v>PAINT PENCIL</v>
      </c>
      <c r="C9823">
        <v>3</v>
      </c>
      <c r="D9823">
        <v>363.12</v>
      </c>
    </row>
    <row r="9824" spans="1:4">
      <c r="A9824" t="str">
        <f>"KE998-DV825-AA"</f>
        <v>KE998-DV825-AA</v>
      </c>
      <c r="B9824" t="str">
        <f t="shared" si="200"/>
        <v>PAINT PENCIL</v>
      </c>
      <c r="C9824">
        <v>1</v>
      </c>
      <c r="D9824">
        <v>443.904</v>
      </c>
    </row>
    <row r="9825" spans="1:4">
      <c r="A9825" t="str">
        <f>"KE998-DV925-AA"</f>
        <v>KE998-DV925-AA</v>
      </c>
      <c r="B9825" t="str">
        <f t="shared" si="200"/>
        <v>PAINT PENCIL</v>
      </c>
      <c r="C9825">
        <v>1</v>
      </c>
      <c r="D9825">
        <v>363.12</v>
      </c>
    </row>
    <row r="9826" spans="1:4">
      <c r="A9826" t="str">
        <f>"KE998-HV025-AA"</f>
        <v>KE998-HV025-AA</v>
      </c>
      <c r="B9826" t="str">
        <f t="shared" si="200"/>
        <v>PAINT PENCIL</v>
      </c>
      <c r="C9826">
        <v>2</v>
      </c>
      <c r="D9826">
        <v>363.12</v>
      </c>
    </row>
    <row r="9827" spans="1:4">
      <c r="A9827" t="str">
        <f>"KE998-J1125-AA"</f>
        <v>KE998-J1125-AA</v>
      </c>
      <c r="B9827" t="str">
        <f t="shared" si="200"/>
        <v>PAINT PENCIL</v>
      </c>
      <c r="C9827">
        <v>3</v>
      </c>
      <c r="D9827">
        <v>363.12</v>
      </c>
    </row>
    <row r="9828" spans="1:4">
      <c r="A9828" t="str">
        <f>"KE998-J1325-AA"</f>
        <v>KE998-J1325-AA</v>
      </c>
      <c r="B9828" t="str">
        <f t="shared" si="200"/>
        <v>PAINT PENCIL</v>
      </c>
      <c r="C9828">
        <v>1</v>
      </c>
      <c r="D9828">
        <v>363.12</v>
      </c>
    </row>
    <row r="9829" spans="1:4">
      <c r="A9829" t="str">
        <f>"KE998-KJ125-AA"</f>
        <v>KE998-KJ125-AA</v>
      </c>
      <c r="B9829" t="str">
        <f>"PAINT PENSIL"</f>
        <v>PAINT PENSIL</v>
      </c>
      <c r="C9829">
        <v>1</v>
      </c>
      <c r="D9829">
        <v>443.904</v>
      </c>
    </row>
    <row r="9830" spans="1:4">
      <c r="A9830" t="str">
        <f>"KE998-T1225-AA"</f>
        <v>KE998-T1225-AA</v>
      </c>
      <c r="B9830" t="str">
        <f>"PAINT PENCIL"</f>
        <v>PAINT PENCIL</v>
      </c>
      <c r="C9830">
        <v>3</v>
      </c>
      <c r="D9830">
        <v>363.12</v>
      </c>
    </row>
    <row r="9831" spans="1:4">
      <c r="A9831" t="str">
        <f>"KE999-A1125-AA"</f>
        <v>KE999-A1125-AA</v>
      </c>
      <c r="B9831" t="str">
        <f>"PAINT SPRAY A11"</f>
        <v>PAINT SPRAY A11</v>
      </c>
      <c r="C9831">
        <v>1</v>
      </c>
      <c r="D9831">
        <v>280.29599999999999</v>
      </c>
    </row>
    <row r="9832" spans="1:4">
      <c r="A9832" t="str">
        <f>"KE999-B3225-AA"</f>
        <v>KE999-B3225-AA</v>
      </c>
      <c r="B9832" t="str">
        <f>"СПРЕЙ КРАСКА B32"</f>
        <v>СПРЕЙ КРАСКА B32</v>
      </c>
      <c r="C9832">
        <v>5</v>
      </c>
      <c r="D9832">
        <v>280.29599999999999</v>
      </c>
    </row>
    <row r="9833" spans="1:4">
      <c r="A9833" t="str">
        <f>"KE999-BY425-AA"</f>
        <v>KE999-BY425-AA</v>
      </c>
      <c r="B9833" t="str">
        <f>"PAINT SPRAY"</f>
        <v>PAINT SPRAY</v>
      </c>
      <c r="C9833">
        <v>2</v>
      </c>
      <c r="D9833">
        <v>280.29599999999999</v>
      </c>
    </row>
    <row r="9834" spans="1:4">
      <c r="A9834" t="str">
        <f>"KE999-DV925-AA"</f>
        <v>KE999-DV925-AA</v>
      </c>
      <c r="B9834" t="str">
        <f>"PAINT SPRAY"</f>
        <v>PAINT SPRAY</v>
      </c>
      <c r="C9834">
        <v>2</v>
      </c>
      <c r="D9834">
        <v>280.29599999999999</v>
      </c>
    </row>
    <row r="9835" spans="1:4">
      <c r="A9835" t="str">
        <f>"KE999-T1225-AA"</f>
        <v>KE999-T1225-AA</v>
      </c>
      <c r="B9835" t="str">
        <f>"PAINT SPRAY"</f>
        <v>PAINT SPRAY</v>
      </c>
      <c r="C9835">
        <v>1</v>
      </c>
      <c r="D9835">
        <v>280.29599999999999</v>
      </c>
    </row>
    <row r="9836" spans="1:4">
      <c r="A9836" t="str">
        <f>"KEY00-00118"</f>
        <v>KEY00-00118</v>
      </c>
      <c r="B9836" t="str">
        <f>"KEY-BLANK,MASTR"</f>
        <v>KEY-BLANK,MASTR</v>
      </c>
      <c r="C9836">
        <v>2</v>
      </c>
      <c r="D9836">
        <v>348.43200000000002</v>
      </c>
    </row>
    <row r="9837" spans="1:4">
      <c r="A9837" t="str">
        <f>"KEY00-E0018"</f>
        <v>KEY00-E0018</v>
      </c>
      <c r="B9837" t="str">
        <f>"KEY-BLANK,MASTE"</f>
        <v>KEY-BLANK,MASTE</v>
      </c>
      <c r="C9837">
        <v>2</v>
      </c>
      <c r="D9837">
        <v>894.3359999999999</v>
      </c>
    </row>
    <row r="9838" spans="1:4">
      <c r="A9838" t="str">
        <f>"KEY00-E0020"</f>
        <v>KEY00-E0020</v>
      </c>
      <c r="B9838" t="str">
        <f>"KEY-BLANK,MASTE"</f>
        <v>KEY-BLANK,MASTE</v>
      </c>
      <c r="C9838">
        <v>4</v>
      </c>
      <c r="D9838">
        <v>916.77599999999995</v>
      </c>
    </row>
    <row r="9839" spans="1:4">
      <c r="A9839" t="str">
        <f>"KEY00-E0021"</f>
        <v>KEY00-E0021</v>
      </c>
      <c r="B9839" t="str">
        <f>"KEY-BLANK,MASTE"</f>
        <v>KEY-BLANK,MASTE</v>
      </c>
      <c r="C9839">
        <v>29</v>
      </c>
      <c r="D9839">
        <v>250.10399999999998</v>
      </c>
    </row>
    <row r="9840" spans="1:4">
      <c r="A9840" t="str">
        <f>"KEY00-E0022"</f>
        <v>KEY00-E0022</v>
      </c>
      <c r="B9840" t="str">
        <f>"KEY-BLANK,MASTE"</f>
        <v>KEY-BLANK,MASTE</v>
      </c>
      <c r="C9840">
        <v>26</v>
      </c>
      <c r="D9840">
        <v>250.10399999999998</v>
      </c>
    </row>
    <row r="9841" spans="1:4">
      <c r="A9841" t="str">
        <f>"KEY00-S0019"</f>
        <v>KEY00-S0019</v>
      </c>
      <c r="B9841" t="str">
        <f>"KEY-BLANK,MASTE"</f>
        <v>KEY-BLANK,MASTE</v>
      </c>
      <c r="C9841">
        <v>1</v>
      </c>
      <c r="D9841">
        <v>2257.4639999999999</v>
      </c>
    </row>
    <row r="9842" spans="1:4">
      <c r="A9842" t="str">
        <f>"KLE24-00002-EU"</f>
        <v>KLE24-00002-EU</v>
      </c>
      <c r="B9842" t="str">
        <f>"AFT MATIC S 20L"</f>
        <v>AFT MATIC S 20L</v>
      </c>
      <c r="C9842">
        <v>2</v>
      </c>
      <c r="D9842">
        <v>12989.904</v>
      </c>
    </row>
    <row r="9843" spans="1:4">
      <c r="A9843" t="str">
        <f>"KLE52-00004-EU"</f>
        <v>KLE52-00004-EU</v>
      </c>
      <c r="B9843" t="str">
        <f>"Масло трансмисионное"</f>
        <v>Масло трансмисионное</v>
      </c>
      <c r="C9843">
        <v>4</v>
      </c>
      <c r="D9843">
        <v>2597.7360000000003</v>
      </c>
    </row>
    <row r="9844" spans="1:4">
      <c r="A9844" t="str">
        <f>"KP610-00250"</f>
        <v>KP610-00250</v>
      </c>
      <c r="B9844" t="str">
        <f>"GASKET-F.I.P"</f>
        <v>GASKET-F.I.P</v>
      </c>
      <c r="C9844">
        <v>2</v>
      </c>
      <c r="D9844">
        <v>1894.752</v>
      </c>
    </row>
    <row r="9845" spans="1:4">
      <c r="A9845" t="str">
        <f>"KS540-VD500"</f>
        <v>KS540-VD500</v>
      </c>
      <c r="B9845" t="str">
        <f>"SAFARI GRILL"</f>
        <v>SAFARI GRILL</v>
      </c>
      <c r="C9845">
        <v>1</v>
      </c>
      <c r="D9845">
        <v>12687.575999999999</v>
      </c>
    </row>
    <row r="9846" spans="1:4">
      <c r="A9846" t="str">
        <f>"KS920-90040"</f>
        <v>KS920-90040</v>
      </c>
      <c r="B9846" t="str">
        <f>"SCREENWASH 5LTR"</f>
        <v>SCREENWASH 5LTR</v>
      </c>
      <c r="C9846">
        <v>239</v>
      </c>
      <c r="D9846">
        <v>270.096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mtkprice_2012-08-09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OVH SAS</cp:lastModifiedBy>
  <dcterms:created xsi:type="dcterms:W3CDTF">2012-08-09T13:43:32Z</dcterms:created>
  <dcterms:modified xsi:type="dcterms:W3CDTF">2012-08-09T17:42:33Z</dcterms:modified>
</cp:coreProperties>
</file>